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2.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7"/>
  <workbookPr updateLinks="never" hidePivotFieldList="1"/>
  <mc:AlternateContent xmlns:mc="http://schemas.openxmlformats.org/markup-compatibility/2006">
    <mc:Choice Requires="x15">
      <x15ac:absPath xmlns:x15ac="http://schemas.microsoft.com/office/spreadsheetml/2010/11/ac" url="K:\SG Clean Energy\CE Projects\Net Zero Planning\EEA Grants\2019-2020\Arlington-Melrose-Natick NZ Planning\02 GHG Inventories\03 Multi-Municipal GHG Method\03 Inventory Tool\"/>
    </mc:Choice>
  </mc:AlternateContent>
  <xr:revisionPtr revIDLastSave="0" documentId="13_ncr:1_{7182F6BB-0D9D-4759-9D19-DE4840DAEAE9}" xr6:coauthVersionLast="36" xr6:coauthVersionMax="44" xr10:uidLastSave="{00000000-0000-0000-0000-000000000000}"/>
  <bookViews>
    <workbookView xWindow="-27810" yWindow="-5460" windowWidth="27630" windowHeight="16125" tabRatio="821" activeTab="1" xr2:uid="{00000000-000D-0000-FFFF-FFFF00000000}"/>
  </bookViews>
  <sheets>
    <sheet name="Introduction" sheetId="31" r:id="rId1"/>
    <sheet name="Inputs" sheetId="56" r:id="rId2"/>
    <sheet name="Adjust Inventory Year" sheetId="64" r:id="rId3"/>
    <sheet name="All Emissions - Summary" sheetId="46" r:id="rId4"/>
    <sheet name="Multi-Year Emissions Trend" sheetId="63" r:id="rId5"/>
    <sheet name="Report Charts" sheetId="55" r:id="rId6"/>
    <sheet name="Drop-Downs" sheetId="59" state="hidden" r:id="rId7"/>
    <sheet name="Emission Factors" sheetId="24" r:id="rId8"/>
    <sheet name="Stationary Energy - Summary" sheetId="25" r:id="rId9"/>
    <sheet name="Stationary Energy - Buildings" sheetId="1" r:id="rId10"/>
    <sheet name="Stationary Energy - Off Road" sheetId="16" r:id="rId11"/>
    <sheet name="Stationary Energy - E. Indus." sheetId="62" r:id="rId12"/>
    <sheet name="Transportation - Summary" sheetId="34" r:id="rId13"/>
    <sheet name="Transportation - On Road" sheetId="4" r:id="rId14"/>
    <sheet name="Transportation - Rail" sheetId="52" r:id="rId15"/>
    <sheet name="Waste - Summary" sheetId="54" r:id="rId16"/>
    <sheet name="Waste-Solid Waste Disposal" sheetId="51" r:id="rId17"/>
    <sheet name="Waste-Biological Treatment" sheetId="61" r:id="rId18"/>
    <sheet name="Waste-Incineration" sheetId="49" r:id="rId19"/>
    <sheet name="Waste-Wastewater" sheetId="11" r:id="rId20"/>
  </sheets>
  <externalReferences>
    <externalReference r:id="rId21"/>
  </externalReferences>
  <definedNames>
    <definedName name="_xlnm._FilterDatabase" localSheetId="7" hidden="1">'Emission Factors'!$B$136:$E$136</definedName>
    <definedName name="_xlnm._FilterDatabase" localSheetId="1" hidden="1">Inputs!$B$27:$C$27</definedName>
    <definedName name="_xlnm._FilterDatabase" localSheetId="9" hidden="1">Inputs!$B$69:$C$69</definedName>
    <definedName name="_xlnm._FilterDatabase" localSheetId="11" hidden="1">'Stationary Energy - E. Indus.'!$B$14:$F$14</definedName>
    <definedName name="Bacteria" localSheetId="4">#REF!</definedName>
    <definedName name="Bacteria" localSheetId="11">#REF!</definedName>
    <definedName name="Bacteria" localSheetId="17">#REF!</definedName>
    <definedName name="Bacteria">#REF!</definedName>
    <definedName name="Bacterias" localSheetId="4">#REF!</definedName>
    <definedName name="Bacterias" localSheetId="11">#REF!</definedName>
    <definedName name="Bacterias" localSheetId="17">#REF!</definedName>
    <definedName name="Bacterias">#REF!</definedName>
    <definedName name="Denitrification" localSheetId="4">#REF!</definedName>
    <definedName name="Denitrification" localSheetId="11">#REF!</definedName>
    <definedName name="Denitrification" localSheetId="17">#REF!</definedName>
    <definedName name="Denitrification">#REF!</definedName>
    <definedName name="Denitrifications" localSheetId="4">#REF!</definedName>
    <definedName name="Denitrifications" localSheetId="11">#REF!</definedName>
    <definedName name="Denitrifications" localSheetId="17">#REF!</definedName>
    <definedName name="Denitrifications">#REF!</definedName>
    <definedName name="Equipment">'[1]RF-FA Default Emission Rates'!$E$96:$E$101</definedName>
    <definedName name="Question_1" localSheetId="4">#REF!</definedName>
    <definedName name="Question_1" localSheetId="11">#REF!</definedName>
    <definedName name="Question_1" localSheetId="17">#REF!</definedName>
    <definedName name="Question_1">#REF!</definedName>
    <definedName name="Question_2" localSheetId="4">#REF!</definedName>
    <definedName name="Question_2" localSheetId="11">#REF!</definedName>
    <definedName name="Question_2" localSheetId="17">#REF!</definedName>
    <definedName name="Question_2">#REF!</definedName>
    <definedName name="Question_2_on_this_sheet" localSheetId="4">#REF!</definedName>
    <definedName name="Question_2_on_this_sheet" localSheetId="11">#REF!</definedName>
    <definedName name="Question_2_on_this_sheet" localSheetId="17">#REF!</definedName>
    <definedName name="Question_2_on_this_sheet">#REF!</definedName>
    <definedName name="Question_on_this_sheet" localSheetId="4">#REF!</definedName>
    <definedName name="Question_on_this_sheet" localSheetId="11">#REF!</definedName>
    <definedName name="Question_on_this_sheet" localSheetId="17">#REF!</definedName>
    <definedName name="Question_on_this_sheet">#REF!</definedName>
    <definedName name="Question1" localSheetId="4">#REF!</definedName>
    <definedName name="Question1" localSheetId="11">#REF!</definedName>
    <definedName name="Question1" localSheetId="17">#REF!</definedName>
    <definedName name="Question1">#REF!</definedName>
    <definedName name="Question1onThisSheet" localSheetId="4">#REF!</definedName>
    <definedName name="Question1onThisSheet" localSheetId="11">#REF!</definedName>
    <definedName name="Question1onThisSheet" localSheetId="17">#REF!</definedName>
    <definedName name="Question1onThisSheet">#REF!</definedName>
    <definedName name="Question2" localSheetId="4">#REF!</definedName>
    <definedName name="Question2" localSheetId="11">#REF!</definedName>
    <definedName name="Question2" localSheetId="17">#REF!</definedName>
    <definedName name="Question2">#REF!</definedName>
    <definedName name="QuestiononThisSheet" localSheetId="4">#REF!</definedName>
    <definedName name="QuestiononThisSheet" localSheetId="11">#REF!</definedName>
    <definedName name="QuestiononThisSheet" localSheetId="17">#REF!</definedName>
    <definedName name="QuestiononThisSheet">#REF!</definedName>
  </definedNames>
  <calcPr calcId="191029"/>
</workbook>
</file>

<file path=xl/calcChain.xml><?xml version="1.0" encoding="utf-8"?>
<calcChain xmlns="http://schemas.openxmlformats.org/spreadsheetml/2006/main">
  <c r="G58" i="24" l="1"/>
  <c r="G59" i="24"/>
  <c r="G60" i="24"/>
  <c r="G57" i="24"/>
  <c r="F52" i="51" l="1"/>
  <c r="F53" i="51"/>
  <c r="F54" i="51"/>
  <c r="F55" i="51"/>
  <c r="F56" i="51"/>
  <c r="F51" i="51"/>
  <c r="F40" i="1" l="1"/>
  <c r="J12" i="16" l="1"/>
  <c r="D27" i="1" l="1"/>
  <c r="C60" i="4"/>
  <c r="C59" i="4"/>
  <c r="M88" i="4"/>
  <c r="K88" i="4"/>
  <c r="G88" i="4"/>
  <c r="C88" i="4"/>
  <c r="F131" i="24" l="1"/>
  <c r="F59" i="4" s="1"/>
  <c r="E131" i="24"/>
  <c r="E59" i="4" s="1"/>
  <c r="D131" i="24"/>
  <c r="F130" i="24"/>
  <c r="F60" i="4" s="1"/>
  <c r="E130" i="24"/>
  <c r="E60" i="4" s="1"/>
  <c r="D130" i="24"/>
  <c r="D60" i="4" s="1"/>
  <c r="C126" i="24"/>
  <c r="B126" i="24"/>
  <c r="F12" i="24"/>
  <c r="E12" i="24"/>
  <c r="D12" i="24"/>
  <c r="C10" i="24"/>
  <c r="G60" i="4" l="1"/>
  <c r="J88" i="4"/>
  <c r="E88" i="4"/>
  <c r="F88" i="4"/>
  <c r="H88" i="4"/>
  <c r="D88" i="4"/>
  <c r="D59" i="4"/>
  <c r="G59" i="4" s="1"/>
  <c r="I88" i="4"/>
  <c r="D86" i="64"/>
  <c r="E133" i="24" s="1"/>
  <c r="E20" i="46" l="1"/>
  <c r="C27" i="1"/>
  <c r="C35" i="1" l="1"/>
  <c r="D35" i="1" s="1"/>
  <c r="C49" i="24"/>
  <c r="F68" i="24"/>
  <c r="E33" i="24"/>
  <c r="D31" i="24"/>
  <c r="D32" i="24"/>
  <c r="D30" i="24"/>
  <c r="F35" i="1" l="1"/>
  <c r="G35" i="1"/>
  <c r="E35" i="1"/>
  <c r="D25" i="11"/>
  <c r="D31" i="51"/>
  <c r="D30" i="51"/>
  <c r="D28" i="51"/>
  <c r="D27" i="51"/>
  <c r="D26" i="51"/>
  <c r="D65" i="4"/>
  <c r="D66" i="4"/>
  <c r="D67" i="4"/>
  <c r="D68" i="4"/>
  <c r="D69" i="4"/>
  <c r="D70" i="4"/>
  <c r="D64" i="4"/>
  <c r="C65" i="4"/>
  <c r="C66" i="4"/>
  <c r="C67" i="4"/>
  <c r="C68" i="4"/>
  <c r="C69" i="4"/>
  <c r="C70" i="4"/>
  <c r="C64" i="4"/>
  <c r="B66" i="4"/>
  <c r="B67" i="4"/>
  <c r="B68" i="4"/>
  <c r="B69" i="4"/>
  <c r="B70" i="4"/>
  <c r="B65" i="4"/>
  <c r="B64" i="4"/>
  <c r="E211" i="1"/>
  <c r="C211" i="1"/>
  <c r="B211" i="1"/>
  <c r="C115" i="24"/>
  <c r="C102" i="24"/>
  <c r="C103" i="24"/>
  <c r="C104" i="24"/>
  <c r="C105" i="24"/>
  <c r="C106" i="24"/>
  <c r="C107" i="24"/>
  <c r="C108" i="24"/>
  <c r="C109" i="24"/>
  <c r="C110" i="24"/>
  <c r="C111" i="24"/>
  <c r="C112" i="24"/>
  <c r="C113" i="24"/>
  <c r="C114" i="24"/>
  <c r="C101" i="24"/>
  <c r="C99" i="24"/>
  <c r="C98" i="24"/>
  <c r="C96" i="24"/>
  <c r="C76" i="24"/>
  <c r="C77" i="24"/>
  <c r="C78" i="24"/>
  <c r="C79" i="24"/>
  <c r="C80" i="24"/>
  <c r="C81" i="24"/>
  <c r="C82" i="24"/>
  <c r="C83" i="24"/>
  <c r="C84" i="24"/>
  <c r="C85" i="24"/>
  <c r="C86" i="24"/>
  <c r="C87" i="24"/>
  <c r="C88" i="24"/>
  <c r="C89" i="24"/>
  <c r="C90" i="24"/>
  <c r="C91" i="24"/>
  <c r="C92" i="24"/>
  <c r="C93" i="24"/>
  <c r="C94" i="24"/>
  <c r="C95" i="24"/>
  <c r="C75" i="24"/>
  <c r="C74" i="24"/>
  <c r="C50" i="24"/>
  <c r="C48" i="24"/>
  <c r="H35" i="1" l="1"/>
  <c r="F38" i="24"/>
  <c r="C51" i="24"/>
  <c r="F43" i="24"/>
  <c r="C52" i="24"/>
  <c r="C24" i="52"/>
  <c r="C23" i="52"/>
  <c r="C22" i="52"/>
  <c r="C21" i="52"/>
  <c r="C20" i="52"/>
  <c r="C19" i="52"/>
  <c r="C79" i="4"/>
  <c r="C78" i="4"/>
  <c r="C77" i="4"/>
  <c r="F79" i="4"/>
  <c r="F77" i="4"/>
  <c r="K79" i="4"/>
  <c r="F243" i="56"/>
  <c r="N78" i="4" s="1"/>
  <c r="O78" i="4" s="1"/>
  <c r="F242" i="56"/>
  <c r="N77" i="4" s="1"/>
  <c r="O77" i="4" s="1"/>
  <c r="D23" i="52"/>
  <c r="D15" i="16"/>
  <c r="F15" i="16" s="1"/>
  <c r="H15" i="16" s="1"/>
  <c r="D14" i="16"/>
  <c r="F14" i="16" s="1"/>
  <c r="H14" i="16" s="1"/>
  <c r="D13" i="16"/>
  <c r="F13" i="16" s="1"/>
  <c r="H13" i="16" s="1"/>
  <c r="D12" i="16"/>
  <c r="F12" i="16" s="1"/>
  <c r="H12" i="16" s="1"/>
  <c r="C15" i="16"/>
  <c r="E15" i="16" s="1"/>
  <c r="G15" i="16" s="1"/>
  <c r="C14" i="16"/>
  <c r="E14" i="16" s="1"/>
  <c r="G14" i="16" s="1"/>
  <c r="C13" i="16"/>
  <c r="E13" i="16" s="1"/>
  <c r="G13" i="16" s="1"/>
  <c r="C12" i="16"/>
  <c r="E12" i="16" s="1"/>
  <c r="G12" i="16" s="1"/>
  <c r="E23" i="52" l="1"/>
  <c r="C6" i="64"/>
  <c r="C86" i="4" l="1"/>
  <c r="E86" i="4" s="1"/>
  <c r="C87" i="4"/>
  <c r="E87" i="4" s="1"/>
  <c r="C85" i="4"/>
  <c r="F85" i="4" l="1"/>
  <c r="C89" i="4"/>
  <c r="D85" i="4"/>
  <c r="D87" i="4"/>
  <c r="E85" i="4"/>
  <c r="E89" i="4" s="1"/>
  <c r="F87" i="4"/>
  <c r="F86" i="4"/>
  <c r="D86" i="4"/>
  <c r="F24" i="52"/>
  <c r="K23" i="52"/>
  <c r="L23" i="52" s="1"/>
  <c r="M23" i="52" s="1"/>
  <c r="E252" i="56"/>
  <c r="K22" i="52" s="1"/>
  <c r="L22" i="52" s="1"/>
  <c r="E251" i="56"/>
  <c r="K21" i="52" s="1"/>
  <c r="L21" i="52" s="1"/>
  <c r="E250" i="56"/>
  <c r="K20" i="52" s="1"/>
  <c r="L20" i="52" s="1"/>
  <c r="E249" i="56"/>
  <c r="K19" i="52" s="1"/>
  <c r="L19" i="52" s="1"/>
  <c r="D89" i="4" l="1"/>
  <c r="F89" i="4"/>
  <c r="K25" i="52"/>
  <c r="D226" i="56"/>
  <c r="C226" i="56"/>
  <c r="D217" i="56"/>
  <c r="C217" i="56"/>
  <c r="J15" i="16" l="1"/>
  <c r="J14" i="16"/>
  <c r="J13" i="16"/>
  <c r="D20" i="46" l="1"/>
  <c r="G21" i="63" l="1"/>
  <c r="D133" i="46"/>
  <c r="F22" i="63"/>
  <c r="E22" i="63"/>
  <c r="D22" i="63"/>
  <c r="D10" i="24" l="1"/>
  <c r="I27" i="1" s="1"/>
  <c r="E18" i="1" l="1"/>
  <c r="D20" i="25" s="1"/>
  <c r="E13" i="1"/>
  <c r="I13" i="1" s="1"/>
  <c r="F13" i="25" s="1"/>
  <c r="D63" i="56"/>
  <c r="D13" i="25" l="1"/>
  <c r="I18" i="1"/>
  <c r="F20" i="25" s="1"/>
  <c r="F16" i="63"/>
  <c r="E16" i="63"/>
  <c r="C18" i="11"/>
  <c r="C17" i="11"/>
  <c r="C19" i="11" l="1"/>
  <c r="D24" i="11" s="1"/>
  <c r="C20" i="11"/>
  <c r="C69" i="11" s="1"/>
  <c r="C5" i="46"/>
  <c r="E35" i="63" l="1"/>
  <c r="K15" i="16"/>
  <c r="K13" i="16"/>
  <c r="B11" i="62"/>
  <c r="C11" i="62" s="1"/>
  <c r="E32" i="25" s="1"/>
  <c r="E111" i="46" s="1"/>
  <c r="F35" i="63" l="1"/>
  <c r="D35" i="63"/>
  <c r="F25" i="52"/>
  <c r="M86" i="4"/>
  <c r="M87" i="4"/>
  <c r="M85" i="4"/>
  <c r="K86" i="4"/>
  <c r="K87" i="4"/>
  <c r="K85" i="4"/>
  <c r="G86" i="4"/>
  <c r="G87" i="4"/>
  <c r="G85" i="4"/>
  <c r="G89" i="4" s="1"/>
  <c r="D79" i="4"/>
  <c r="D78" i="4"/>
  <c r="D77" i="4"/>
  <c r="E77" i="4" s="1"/>
  <c r="P77" i="4" s="1"/>
  <c r="C94" i="4" s="1"/>
  <c r="M89" i="4" l="1"/>
  <c r="K89" i="4"/>
  <c r="D16" i="63"/>
  <c r="G77" i="4"/>
  <c r="J87" i="4" l="1"/>
  <c r="I87" i="4"/>
  <c r="H87" i="4"/>
  <c r="J86" i="4"/>
  <c r="I86" i="4"/>
  <c r="H86" i="4"/>
  <c r="H85" i="4"/>
  <c r="J85" i="4"/>
  <c r="I85" i="4"/>
  <c r="J77" i="4"/>
  <c r="I77" i="4"/>
  <c r="H77" i="4"/>
  <c r="H89" i="4" l="1"/>
  <c r="J89" i="4"/>
  <c r="I89" i="4"/>
  <c r="J50" i="4"/>
  <c r="G39" i="4"/>
  <c r="C37" i="4" l="1"/>
  <c r="D20" i="52"/>
  <c r="D21" i="52"/>
  <c r="D22" i="52"/>
  <c r="D24" i="52"/>
  <c r="D19" i="52"/>
  <c r="L25" i="52" l="1"/>
  <c r="E20" i="52" l="1"/>
  <c r="M20" i="52" s="1"/>
  <c r="E21" i="52"/>
  <c r="M21" i="52" s="1"/>
  <c r="C32" i="52" s="1"/>
  <c r="E22" i="52"/>
  <c r="M22" i="52" s="1"/>
  <c r="C31" i="52" l="1"/>
  <c r="C33" i="52"/>
  <c r="C65" i="11" l="1"/>
  <c r="C68" i="11" s="1"/>
  <c r="C71" i="11" s="1"/>
  <c r="C62" i="11"/>
  <c r="C67" i="11" s="1"/>
  <c r="D12" i="11" l="1"/>
  <c r="C70" i="11"/>
  <c r="D25" i="51"/>
  <c r="C12" i="11" l="1"/>
  <c r="I41" i="1"/>
  <c r="I42" i="1"/>
  <c r="I43" i="1"/>
  <c r="I44" i="1"/>
  <c r="I40" i="1"/>
  <c r="H44" i="1"/>
  <c r="H43" i="1"/>
  <c r="H42" i="1"/>
  <c r="H41" i="1"/>
  <c r="H40" i="1"/>
  <c r="C13" i="11" l="1"/>
  <c r="G14" i="54" s="1"/>
  <c r="F93" i="46" s="1"/>
  <c r="W26" i="25" l="1"/>
  <c r="W27" i="25"/>
  <c r="W24" i="25"/>
  <c r="D55" i="56" l="1"/>
  <c r="C58" i="24"/>
  <c r="C59" i="24"/>
  <c r="C60" i="24"/>
  <c r="D60" i="24" s="1"/>
  <c r="C57" i="24"/>
  <c r="H60" i="24"/>
  <c r="H59" i="24"/>
  <c r="H58" i="24"/>
  <c r="H57" i="24"/>
  <c r="D17" i="1" l="1"/>
  <c r="D16" i="1" s="1"/>
  <c r="K57" i="24"/>
  <c r="K60" i="24"/>
  <c r="K59" i="24"/>
  <c r="K58" i="24"/>
  <c r="D52" i="51"/>
  <c r="D53" i="51"/>
  <c r="D54" i="51"/>
  <c r="D55" i="51"/>
  <c r="D56" i="51"/>
  <c r="D51" i="51"/>
  <c r="E56" i="51"/>
  <c r="E59" i="49" s="1"/>
  <c r="E55" i="51"/>
  <c r="E43" i="49" s="1"/>
  <c r="E54" i="51"/>
  <c r="E42" i="49" s="1"/>
  <c r="E53" i="51"/>
  <c r="E25" i="49" s="1"/>
  <c r="E52" i="51"/>
  <c r="E55" i="49" s="1"/>
  <c r="E51" i="51"/>
  <c r="E54" i="49" s="1"/>
  <c r="D11" i="61"/>
  <c r="C11" i="61"/>
  <c r="D20" i="51"/>
  <c r="D19" i="51"/>
  <c r="F19" i="51" s="1"/>
  <c r="C20" i="51"/>
  <c r="C19" i="51"/>
  <c r="D304" i="56"/>
  <c r="C304" i="56"/>
  <c r="J51" i="4"/>
  <c r="J52" i="4"/>
  <c r="J53" i="4"/>
  <c r="J54" i="4"/>
  <c r="G51" i="4"/>
  <c r="G52" i="4"/>
  <c r="G53" i="4"/>
  <c r="G54" i="4"/>
  <c r="G50" i="4"/>
  <c r="D51" i="4"/>
  <c r="D52" i="4"/>
  <c r="D53" i="4"/>
  <c r="D54" i="4"/>
  <c r="D50" i="4"/>
  <c r="C51" i="4"/>
  <c r="C52" i="4"/>
  <c r="C53" i="4"/>
  <c r="C54" i="4"/>
  <c r="C50" i="4"/>
  <c r="C48" i="4"/>
  <c r="J40" i="4"/>
  <c r="J41" i="4"/>
  <c r="J42" i="4"/>
  <c r="J43" i="4"/>
  <c r="J39" i="4"/>
  <c r="G40" i="4"/>
  <c r="G41" i="4"/>
  <c r="G42" i="4"/>
  <c r="G43" i="4"/>
  <c r="D40" i="4"/>
  <c r="D41" i="4"/>
  <c r="D42" i="4"/>
  <c r="D43" i="4"/>
  <c r="D39" i="4"/>
  <c r="C40" i="4"/>
  <c r="C41" i="4"/>
  <c r="C42" i="4"/>
  <c r="C43" i="4"/>
  <c r="C39" i="4"/>
  <c r="D71" i="4"/>
  <c r="K54" i="4" s="1"/>
  <c r="C38" i="4" l="1"/>
  <c r="E43" i="4" s="1"/>
  <c r="D21" i="51"/>
  <c r="B11" i="61" s="1"/>
  <c r="C16" i="61" s="1"/>
  <c r="F20" i="51"/>
  <c r="F21" i="51" s="1"/>
  <c r="E41" i="49"/>
  <c r="E58" i="49"/>
  <c r="E39" i="49"/>
  <c r="D45" i="51"/>
  <c r="E27" i="49"/>
  <c r="E44" i="49"/>
  <c r="E40" i="49"/>
  <c r="E57" i="49"/>
  <c r="E28" i="49"/>
  <c r="E23" i="49"/>
  <c r="E26" i="49"/>
  <c r="E56" i="49"/>
  <c r="E24" i="49"/>
  <c r="I16" i="61" l="1"/>
  <c r="F16" i="61"/>
  <c r="E39" i="4"/>
  <c r="E42" i="4"/>
  <c r="E41" i="4"/>
  <c r="F41" i="4" s="1"/>
  <c r="E40" i="4"/>
  <c r="F12" i="54"/>
  <c r="E12" i="54"/>
  <c r="C17" i="61"/>
  <c r="L15" i="16"/>
  <c r="F39" i="4" l="1"/>
  <c r="H39" i="4" s="1"/>
  <c r="F17" i="61"/>
  <c r="H17" i="61" s="1"/>
  <c r="I17" i="61"/>
  <c r="H16" i="61"/>
  <c r="O15" i="16"/>
  <c r="N15" i="16"/>
  <c r="N18" i="16" s="1"/>
  <c r="S26" i="25" s="1"/>
  <c r="K12" i="16"/>
  <c r="K14" i="16"/>
  <c r="O18" i="16" l="1"/>
  <c r="T26" i="25" s="1"/>
  <c r="V26" i="25" s="1"/>
  <c r="S27" i="25"/>
  <c r="F81" i="46" s="1"/>
  <c r="U26" i="25"/>
  <c r="H18" i="61"/>
  <c r="G12" i="54" s="1"/>
  <c r="I18" i="61"/>
  <c r="I12" i="54" s="1"/>
  <c r="E16" i="1"/>
  <c r="E20" i="1" s="1"/>
  <c r="C223" i="1" s="1"/>
  <c r="E11" i="1"/>
  <c r="E15" i="1" s="1"/>
  <c r="C222" i="1" s="1"/>
  <c r="E222" i="1" s="1"/>
  <c r="C63" i="56"/>
  <c r="D50" i="56"/>
  <c r="D56" i="56" s="1"/>
  <c r="D34" i="56"/>
  <c r="C34" i="56"/>
  <c r="D18" i="1"/>
  <c r="D13" i="1"/>
  <c r="G13" i="25" s="1"/>
  <c r="U27" i="25" l="1"/>
  <c r="H91" i="46"/>
  <c r="F91" i="46"/>
  <c r="G20" i="25"/>
  <c r="C121" i="24"/>
  <c r="D11" i="25"/>
  <c r="D12" i="1"/>
  <c r="J57" i="24"/>
  <c r="J58" i="24"/>
  <c r="J60" i="24"/>
  <c r="J59" i="24"/>
  <c r="D11" i="1" l="1"/>
  <c r="C120" i="24" s="1"/>
  <c r="I91" i="46"/>
  <c r="F62" i="46" s="1"/>
  <c r="E21" i="1"/>
  <c r="G34" i="46" l="1"/>
  <c r="D34" i="46"/>
  <c r="D20" i="1"/>
  <c r="G32" i="63" l="1"/>
  <c r="D137" i="46"/>
  <c r="H80" i="1"/>
  <c r="H81" i="1"/>
  <c r="H82" i="1"/>
  <c r="H83" i="1"/>
  <c r="H84" i="1"/>
  <c r="H85" i="1"/>
  <c r="H86" i="1"/>
  <c r="H87" i="1"/>
  <c r="H88" i="1"/>
  <c r="H89" i="1"/>
  <c r="H90" i="1"/>
  <c r="H91" i="1"/>
  <c r="H92" i="1"/>
  <c r="H93" i="1"/>
  <c r="H94" i="1"/>
  <c r="H95" i="1"/>
  <c r="H96" i="1"/>
  <c r="H97" i="1"/>
  <c r="H98" i="1"/>
  <c r="H99" i="1"/>
  <c r="H79" i="1"/>
  <c r="F109" i="1" l="1"/>
  <c r="F110" i="1"/>
  <c r="F111" i="1"/>
  <c r="F112" i="1"/>
  <c r="F113" i="1"/>
  <c r="F114" i="1"/>
  <c r="F115" i="1"/>
  <c r="F116" i="1"/>
  <c r="F117" i="1"/>
  <c r="F118" i="1"/>
  <c r="F119" i="1"/>
  <c r="C79" i="1" s="1"/>
  <c r="F120" i="1"/>
  <c r="C80" i="1" s="1"/>
  <c r="F121" i="1"/>
  <c r="C81" i="1" s="1"/>
  <c r="F122" i="1"/>
  <c r="C82" i="1" s="1"/>
  <c r="F123" i="1"/>
  <c r="C83" i="1" s="1"/>
  <c r="F124" i="1"/>
  <c r="C84" i="1" s="1"/>
  <c r="F125" i="1"/>
  <c r="C85" i="1" s="1"/>
  <c r="F126" i="1"/>
  <c r="C86" i="1" s="1"/>
  <c r="F127" i="1"/>
  <c r="C87" i="1" s="1"/>
  <c r="F128" i="1"/>
  <c r="C88" i="1" s="1"/>
  <c r="F129" i="1"/>
  <c r="C89" i="1" s="1"/>
  <c r="F130" i="1"/>
  <c r="C90" i="1" s="1"/>
  <c r="F131" i="1"/>
  <c r="C91" i="1" s="1"/>
  <c r="F132" i="1"/>
  <c r="C92" i="1" s="1"/>
  <c r="F133" i="1"/>
  <c r="C93" i="1" s="1"/>
  <c r="F134" i="1"/>
  <c r="C94" i="1" s="1"/>
  <c r="F135" i="1"/>
  <c r="C95" i="1" s="1"/>
  <c r="F136" i="1"/>
  <c r="C96" i="1" s="1"/>
  <c r="F137" i="1"/>
  <c r="C97" i="1" s="1"/>
  <c r="F138" i="1"/>
  <c r="C98" i="1" s="1"/>
  <c r="F139" i="1"/>
  <c r="C99" i="1" s="1"/>
  <c r="F140" i="1"/>
  <c r="F141" i="1"/>
  <c r="F142" i="1"/>
  <c r="F143" i="1"/>
  <c r="F144" i="1"/>
  <c r="F145" i="1"/>
  <c r="F146" i="1"/>
  <c r="F147" i="1"/>
  <c r="C58" i="1" s="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C57" i="1" s="1"/>
  <c r="F186" i="1"/>
  <c r="C61" i="1" s="1"/>
  <c r="F187" i="1"/>
  <c r="C60" i="1" s="1"/>
  <c r="F188" i="1"/>
  <c r="F189" i="1"/>
  <c r="F190" i="1"/>
  <c r="F191" i="1"/>
  <c r="F192" i="1"/>
  <c r="F193" i="1"/>
  <c r="F194" i="1"/>
  <c r="C59" i="1" s="1"/>
  <c r="F195" i="1"/>
  <c r="F196" i="1"/>
  <c r="F197" i="1"/>
  <c r="C68" i="1" s="1"/>
  <c r="F198" i="1"/>
  <c r="F199" i="1"/>
  <c r="F200" i="1"/>
  <c r="C67" i="1" s="1"/>
  <c r="F201" i="1"/>
  <c r="F202" i="1"/>
  <c r="F203" i="1"/>
  <c r="F204" i="1"/>
  <c r="F205" i="1"/>
  <c r="F206" i="1"/>
  <c r="F108"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D58" i="1" s="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D57" i="1" s="1"/>
  <c r="E186" i="1"/>
  <c r="D61" i="1" s="1"/>
  <c r="E187" i="1"/>
  <c r="D60" i="1" s="1"/>
  <c r="E188" i="1"/>
  <c r="E189" i="1"/>
  <c r="E190" i="1"/>
  <c r="E191" i="1"/>
  <c r="E192" i="1"/>
  <c r="E193" i="1"/>
  <c r="E194" i="1"/>
  <c r="D59" i="1" s="1"/>
  <c r="E195" i="1"/>
  <c r="E196" i="1"/>
  <c r="E197" i="1"/>
  <c r="D68" i="1" s="1"/>
  <c r="E198" i="1"/>
  <c r="E199" i="1"/>
  <c r="E200" i="1"/>
  <c r="D67" i="1" s="1"/>
  <c r="E201" i="1"/>
  <c r="E202" i="1"/>
  <c r="E203" i="1"/>
  <c r="E204" i="1"/>
  <c r="E205" i="1"/>
  <c r="E206" i="1"/>
  <c r="C64" i="1" l="1"/>
  <c r="D62" i="1"/>
  <c r="D64" i="1"/>
  <c r="D69" i="1"/>
  <c r="D71" i="1"/>
  <c r="J96" i="1"/>
  <c r="I96" i="1" s="1"/>
  <c r="D96" i="1"/>
  <c r="J88" i="1"/>
  <c r="M88" i="1" s="1"/>
  <c r="D88" i="1"/>
  <c r="J80" i="1"/>
  <c r="L80" i="1" s="1"/>
  <c r="D80" i="1"/>
  <c r="C62" i="1"/>
  <c r="C66" i="1"/>
  <c r="C70" i="1"/>
  <c r="D63" i="1"/>
  <c r="J95" i="1"/>
  <c r="K95" i="1" s="1"/>
  <c r="D95" i="1"/>
  <c r="J87" i="1"/>
  <c r="M87" i="1" s="1"/>
  <c r="D87" i="1"/>
  <c r="J79" i="1"/>
  <c r="K79" i="1" s="1"/>
  <c r="D79" i="1"/>
  <c r="J85" i="1"/>
  <c r="L85" i="1" s="1"/>
  <c r="D85" i="1"/>
  <c r="J94" i="1"/>
  <c r="K94" i="1" s="1"/>
  <c r="D94" i="1"/>
  <c r="J86" i="1"/>
  <c r="K86" i="1" s="1"/>
  <c r="D86" i="1"/>
  <c r="C65" i="1"/>
  <c r="J93" i="1"/>
  <c r="M93" i="1" s="1"/>
  <c r="D93" i="1"/>
  <c r="D66" i="1"/>
  <c r="D70" i="1"/>
  <c r="J92" i="1"/>
  <c r="I92" i="1" s="1"/>
  <c r="D92" i="1"/>
  <c r="J84" i="1"/>
  <c r="K84" i="1" s="1"/>
  <c r="D84" i="1"/>
  <c r="C71" i="1"/>
  <c r="J99" i="1"/>
  <c r="M99" i="1" s="1"/>
  <c r="D99" i="1"/>
  <c r="J91" i="1"/>
  <c r="K91" i="1" s="1"/>
  <c r="D91" i="1"/>
  <c r="J83" i="1"/>
  <c r="K83" i="1" s="1"/>
  <c r="D83" i="1"/>
  <c r="C63" i="1"/>
  <c r="D65" i="1"/>
  <c r="J98" i="1"/>
  <c r="L98" i="1" s="1"/>
  <c r="D98" i="1"/>
  <c r="J90" i="1"/>
  <c r="I90" i="1" s="1"/>
  <c r="D90" i="1"/>
  <c r="J82" i="1"/>
  <c r="L82" i="1" s="1"/>
  <c r="D82" i="1"/>
  <c r="J97" i="1"/>
  <c r="I97" i="1" s="1"/>
  <c r="D97" i="1"/>
  <c r="J89" i="1"/>
  <c r="I89" i="1" s="1"/>
  <c r="D89" i="1"/>
  <c r="J81" i="1"/>
  <c r="L81" i="1" s="1"/>
  <c r="D81" i="1"/>
  <c r="C69" i="1"/>
  <c r="M79" i="1" l="1"/>
  <c r="M96" i="1"/>
  <c r="I79" i="1"/>
  <c r="L99" i="1"/>
  <c r="K89" i="1"/>
  <c r="L96" i="1"/>
  <c r="L89" i="1"/>
  <c r="M98" i="1"/>
  <c r="L79" i="1"/>
  <c r="I80" i="1"/>
  <c r="I87" i="1"/>
  <c r="I86" i="1"/>
  <c r="I82" i="1"/>
  <c r="K99" i="1"/>
  <c r="M89" i="1"/>
  <c r="K93" i="1"/>
  <c r="I93" i="1"/>
  <c r="L90" i="1"/>
  <c r="M81" i="1"/>
  <c r="M91" i="1"/>
  <c r="K81" i="1"/>
  <c r="K90" i="1"/>
  <c r="I91" i="1"/>
  <c r="L93" i="1"/>
  <c r="L97" i="1"/>
  <c r="L84" i="1"/>
  <c r="K92" i="1"/>
  <c r="M92" i="1"/>
  <c r="I81" i="1"/>
  <c r="L88" i="1"/>
  <c r="K98" i="1"/>
  <c r="M85" i="1"/>
  <c r="I94" i="1"/>
  <c r="I99" i="1"/>
  <c r="I88" i="1"/>
  <c r="I98" i="1"/>
  <c r="M95" i="1"/>
  <c r="L91" i="1"/>
  <c r="J100" i="1"/>
  <c r="D34" i="1" s="1"/>
  <c r="L92" i="1"/>
  <c r="M90" i="1"/>
  <c r="I95" i="1"/>
  <c r="I85" i="1"/>
  <c r="K97" i="1"/>
  <c r="K88" i="1"/>
  <c r="L94" i="1"/>
  <c r="M94" i="1"/>
  <c r="K96" i="1"/>
  <c r="L95" i="1"/>
  <c r="K85" i="1"/>
  <c r="K80" i="1"/>
  <c r="M86" i="1"/>
  <c r="L87" i="1"/>
  <c r="L83" i="1"/>
  <c r="K87" i="1"/>
  <c r="M80" i="1"/>
  <c r="L86" i="1"/>
  <c r="M82" i="1"/>
  <c r="M83" i="1"/>
  <c r="K82" i="1"/>
  <c r="I83" i="1"/>
  <c r="M84" i="1"/>
  <c r="M97" i="1"/>
  <c r="I84" i="1"/>
  <c r="E68" i="1"/>
  <c r="E58" i="1"/>
  <c r="E61" i="1"/>
  <c r="E60" i="1"/>
  <c r="E59" i="1"/>
  <c r="E67" i="1"/>
  <c r="E69" i="1"/>
  <c r="E57" i="1"/>
  <c r="E65" i="1"/>
  <c r="E66" i="1"/>
  <c r="E71" i="1"/>
  <c r="E64" i="1"/>
  <c r="E70" i="1"/>
  <c r="E63" i="1"/>
  <c r="E62" i="1"/>
  <c r="K100" i="1" l="1"/>
  <c r="E34" i="1" s="1"/>
  <c r="M100" i="1"/>
  <c r="G34" i="1" s="1"/>
  <c r="L100" i="1"/>
  <c r="F34" i="1" s="1"/>
  <c r="I100" i="1"/>
  <c r="C34" i="1" s="1"/>
  <c r="D211" i="1"/>
  <c r="F211" i="1" s="1"/>
  <c r="D97" i="4" s="1"/>
  <c r="C217" i="1"/>
  <c r="E223" i="1"/>
  <c r="E229" i="1"/>
  <c r="E230" i="1"/>
  <c r="H34" i="1" l="1"/>
  <c r="D94" i="4"/>
  <c r="E94" i="4" s="1"/>
  <c r="D95" i="4"/>
  <c r="D32" i="52"/>
  <c r="D33" i="52"/>
  <c r="E33" i="52" s="1"/>
  <c r="D30" i="52"/>
  <c r="D31" i="52"/>
  <c r="E31" i="52" s="1"/>
  <c r="C224" i="1"/>
  <c r="E224" i="1" s="1"/>
  <c r="D217" i="1"/>
  <c r="E217" i="1" s="1"/>
  <c r="D218" i="1"/>
  <c r="D216" i="1"/>
  <c r="J63" i="1"/>
  <c r="J64" i="1"/>
  <c r="J65" i="1"/>
  <c r="K65" i="1" s="1"/>
  <c r="J66" i="1"/>
  <c r="K66" i="1" s="1"/>
  <c r="L66" i="1" s="1"/>
  <c r="J67" i="1"/>
  <c r="K67" i="1" s="1"/>
  <c r="J68" i="1"/>
  <c r="K68" i="1" s="1"/>
  <c r="J69" i="1"/>
  <c r="K69" i="1" s="1"/>
  <c r="L69" i="1" s="1"/>
  <c r="J70" i="1"/>
  <c r="K70" i="1" s="1"/>
  <c r="J71" i="1"/>
  <c r="K71" i="1" s="1"/>
  <c r="J62" i="1"/>
  <c r="K62" i="1" s="1"/>
  <c r="J61" i="1"/>
  <c r="J60" i="1"/>
  <c r="K60" i="1" s="1"/>
  <c r="J59" i="1"/>
  <c r="J58" i="1"/>
  <c r="J57" i="1"/>
  <c r="K57" i="1" s="1"/>
  <c r="I64" i="1"/>
  <c r="I63" i="1"/>
  <c r="I61" i="1"/>
  <c r="I59" i="1"/>
  <c r="I58" i="1"/>
  <c r="F64" i="1" l="1"/>
  <c r="F61" i="1"/>
  <c r="F59" i="1"/>
  <c r="F58" i="1"/>
  <c r="G58" i="1" s="1"/>
  <c r="K58" i="1" s="1"/>
  <c r="L67" i="1" l="1"/>
  <c r="L71" i="1"/>
  <c r="L68" i="1"/>
  <c r="L70" i="1"/>
  <c r="M66" i="1" l="1"/>
  <c r="N66" i="1"/>
  <c r="O66" i="1"/>
  <c r="L65" i="1"/>
  <c r="M71" i="1"/>
  <c r="O71" i="1"/>
  <c r="N71" i="1"/>
  <c r="M67" i="1"/>
  <c r="N67" i="1"/>
  <c r="O67" i="1"/>
  <c r="M68" i="1"/>
  <c r="O68" i="1"/>
  <c r="N68" i="1"/>
  <c r="M70" i="1"/>
  <c r="O70" i="1"/>
  <c r="N70" i="1"/>
  <c r="G61" i="1"/>
  <c r="K61" i="1" s="1"/>
  <c r="G63" i="1"/>
  <c r="L58" i="1"/>
  <c r="G64" i="1"/>
  <c r="G59" i="1"/>
  <c r="K59" i="1" s="1"/>
  <c r="L62" i="1"/>
  <c r="L60" i="1"/>
  <c r="K63" i="1" l="1"/>
  <c r="L63" i="1" s="1"/>
  <c r="K64" i="1"/>
  <c r="L64" i="1" s="1"/>
  <c r="L61" i="1"/>
  <c r="L57" i="1"/>
  <c r="M60" i="1"/>
  <c r="O60" i="1"/>
  <c r="N60" i="1"/>
  <c r="M69" i="1"/>
  <c r="O69" i="1"/>
  <c r="N69" i="1"/>
  <c r="M65" i="1"/>
  <c r="O65" i="1"/>
  <c r="N65" i="1"/>
  <c r="N58" i="1"/>
  <c r="O58" i="1"/>
  <c r="M58" i="1"/>
  <c r="M62" i="1"/>
  <c r="O62" i="1"/>
  <c r="N62" i="1"/>
  <c r="F41" i="1"/>
  <c r="F42" i="1"/>
  <c r="F43" i="1"/>
  <c r="F45" i="1"/>
  <c r="D44" i="1"/>
  <c r="D43" i="1"/>
  <c r="D42" i="1"/>
  <c r="D41" i="1"/>
  <c r="D40" i="1"/>
  <c r="C41" i="1"/>
  <c r="K72" i="1" l="1"/>
  <c r="C33" i="1" s="1"/>
  <c r="M61" i="1"/>
  <c r="O61" i="1"/>
  <c r="N61" i="1"/>
  <c r="O64" i="1"/>
  <c r="N64" i="1"/>
  <c r="M64" i="1"/>
  <c r="O63" i="1"/>
  <c r="N63" i="1"/>
  <c r="M63" i="1"/>
  <c r="L59" i="1"/>
  <c r="L72" i="1" s="1"/>
  <c r="N57" i="1"/>
  <c r="O57" i="1"/>
  <c r="M57" i="1"/>
  <c r="F44" i="1"/>
  <c r="E44" i="1" s="1"/>
  <c r="C46" i="1" l="1"/>
  <c r="C48" i="1" s="1"/>
  <c r="O22" i="25"/>
  <c r="O25" i="25" s="1"/>
  <c r="D103" i="46" s="1"/>
  <c r="D33" i="1"/>
  <c r="N59" i="1"/>
  <c r="N72" i="1" s="1"/>
  <c r="M59" i="1"/>
  <c r="M72" i="1" s="1"/>
  <c r="O59" i="1"/>
  <c r="G40" i="1" l="1"/>
  <c r="J40" i="1" s="1"/>
  <c r="G41" i="1"/>
  <c r="E33" i="1"/>
  <c r="P22" i="25" s="1"/>
  <c r="U22" i="25" s="1"/>
  <c r="O72" i="1"/>
  <c r="G33" i="1" s="1"/>
  <c r="R22" i="25" s="1"/>
  <c r="F33" i="1"/>
  <c r="Q22" i="25" s="1"/>
  <c r="J41" i="1"/>
  <c r="K41" i="1" s="1"/>
  <c r="G43" i="1"/>
  <c r="J43" i="1" s="1"/>
  <c r="K43" i="1" s="1"/>
  <c r="G42" i="1"/>
  <c r="J42" i="1" s="1"/>
  <c r="K42" i="1" s="1"/>
  <c r="G44" i="1"/>
  <c r="J44" i="1" s="1"/>
  <c r="K44" i="1" s="1"/>
  <c r="R25" i="25" l="1"/>
  <c r="H77" i="46" s="1"/>
  <c r="W22" i="25"/>
  <c r="P25" i="25"/>
  <c r="F77" i="46" s="1"/>
  <c r="H33" i="1"/>
  <c r="V22" i="25"/>
  <c r="Q25" i="25"/>
  <c r="G77" i="46" s="1"/>
  <c r="J45" i="1"/>
  <c r="K40" i="1"/>
  <c r="K45" i="1" s="1"/>
  <c r="L42" i="1"/>
  <c r="N42" i="1"/>
  <c r="M42" i="1"/>
  <c r="L43" i="1"/>
  <c r="M43" i="1"/>
  <c r="N43" i="1"/>
  <c r="L44" i="1"/>
  <c r="M44" i="1"/>
  <c r="N44" i="1"/>
  <c r="N41" i="1"/>
  <c r="M41" i="1"/>
  <c r="L41" i="1"/>
  <c r="H68" i="24"/>
  <c r="F60" i="24"/>
  <c r="I77" i="46" l="1"/>
  <c r="E60" i="24"/>
  <c r="H4" i="59"/>
  <c r="M40" i="1"/>
  <c r="M45" i="1" s="1"/>
  <c r="N40" i="1"/>
  <c r="N45" i="1" s="1"/>
  <c r="L40" i="1"/>
  <c r="L45" i="1" s="1"/>
  <c r="D32" i="1"/>
  <c r="D36" i="1" s="1"/>
  <c r="C32" i="1"/>
  <c r="D33" i="24"/>
  <c r="I57" i="24"/>
  <c r="I58" i="24"/>
  <c r="I59" i="24"/>
  <c r="I60" i="24"/>
  <c r="O15" i="25" l="1"/>
  <c r="O28" i="25" s="1"/>
  <c r="C36" i="1"/>
  <c r="E32" i="24"/>
  <c r="E31" i="24"/>
  <c r="D68" i="24" s="1"/>
  <c r="I68" i="24" s="1"/>
  <c r="F18" i="1" s="1"/>
  <c r="H20" i="25" s="1"/>
  <c r="U20" i="25" s="1"/>
  <c r="E30" i="24"/>
  <c r="L60" i="24"/>
  <c r="M60" i="24"/>
  <c r="N60" i="24"/>
  <c r="E32" i="1"/>
  <c r="F32" i="1"/>
  <c r="G32" i="1"/>
  <c r="O60" i="24" l="1"/>
  <c r="P60" i="24" s="1"/>
  <c r="H32" i="1"/>
  <c r="H36" i="1" s="1"/>
  <c r="O17" i="25"/>
  <c r="D100" i="46" s="1"/>
  <c r="D106" i="46" s="1"/>
  <c r="R15" i="25"/>
  <c r="W15" i="25" s="1"/>
  <c r="G36" i="1"/>
  <c r="Q15" i="25"/>
  <c r="Q17" i="25" s="1"/>
  <c r="G72" i="46" s="1"/>
  <c r="F36" i="1"/>
  <c r="P15" i="25"/>
  <c r="U15" i="25" s="1"/>
  <c r="E36" i="1"/>
  <c r="D38" i="24"/>
  <c r="G38" i="24" s="1"/>
  <c r="C43" i="24"/>
  <c r="D59" i="24"/>
  <c r="M59" i="24" s="1"/>
  <c r="D58" i="24"/>
  <c r="M58" i="24" s="1"/>
  <c r="C68" i="24"/>
  <c r="J68" i="24" s="1"/>
  <c r="C38" i="24"/>
  <c r="D57" i="24"/>
  <c r="M57" i="24" s="1"/>
  <c r="E58" i="24"/>
  <c r="L58" i="24" s="1"/>
  <c r="E57" i="24"/>
  <c r="L57" i="24" s="1"/>
  <c r="D43" i="24"/>
  <c r="E59" i="24"/>
  <c r="L59" i="24" s="1"/>
  <c r="F58" i="24"/>
  <c r="N58" i="24" s="1"/>
  <c r="F57" i="24"/>
  <c r="N57" i="24" s="1"/>
  <c r="F59" i="24"/>
  <c r="N59" i="24" s="1"/>
  <c r="E43" i="24"/>
  <c r="E38" i="24"/>
  <c r="E68" i="24"/>
  <c r="K68" i="24" s="1"/>
  <c r="F13" i="1"/>
  <c r="H13" i="25" s="1"/>
  <c r="U13" i="25" s="1"/>
  <c r="R17" i="25"/>
  <c r="H72" i="46" s="1"/>
  <c r="I43" i="24" l="1"/>
  <c r="P88" i="4" s="1"/>
  <c r="G43" i="24"/>
  <c r="F94" i="4" s="1"/>
  <c r="H38" i="24"/>
  <c r="H43" i="24"/>
  <c r="O86" i="4" s="1"/>
  <c r="I38" i="24"/>
  <c r="G27" i="1" s="1"/>
  <c r="O57" i="24"/>
  <c r="P57" i="24" s="1"/>
  <c r="O58" i="24"/>
  <c r="P58" i="24" s="1"/>
  <c r="O59" i="24"/>
  <c r="P59" i="24" s="1"/>
  <c r="N61" i="24"/>
  <c r="H12" i="1" s="1"/>
  <c r="N62" i="24"/>
  <c r="H17" i="1" s="1"/>
  <c r="E27" i="1"/>
  <c r="V15" i="25"/>
  <c r="P28" i="25"/>
  <c r="P17" i="25"/>
  <c r="F72" i="46" s="1"/>
  <c r="I72" i="46" s="1"/>
  <c r="M61" i="24"/>
  <c r="M62" i="24"/>
  <c r="L68" i="24"/>
  <c r="L62" i="24"/>
  <c r="F17" i="1" s="1"/>
  <c r="H31" i="52"/>
  <c r="H33" i="52"/>
  <c r="P86" i="4"/>
  <c r="P87" i="4"/>
  <c r="P85" i="4"/>
  <c r="P21" i="52"/>
  <c r="P23" i="52"/>
  <c r="P22" i="52"/>
  <c r="H94" i="4"/>
  <c r="S77" i="4"/>
  <c r="P20" i="52"/>
  <c r="G18" i="1"/>
  <c r="I20" i="25" s="1"/>
  <c r="V20" i="25" s="1"/>
  <c r="G13" i="1"/>
  <c r="I13" i="25" s="1"/>
  <c r="V13" i="25" s="1"/>
  <c r="L61" i="24"/>
  <c r="F12" i="1" s="1"/>
  <c r="H12" i="25" s="1"/>
  <c r="U12" i="25" s="1"/>
  <c r="F33" i="52"/>
  <c r="F31" i="52"/>
  <c r="N23" i="52"/>
  <c r="O85" i="4"/>
  <c r="O87" i="4"/>
  <c r="G31" i="52"/>
  <c r="H13" i="1"/>
  <c r="J13" i="25" s="1"/>
  <c r="W13" i="25" s="1"/>
  <c r="H18" i="1"/>
  <c r="J20" i="25" s="1"/>
  <c r="W20" i="25" s="1"/>
  <c r="F11" i="1"/>
  <c r="G11" i="1"/>
  <c r="N87" i="4" l="1"/>
  <c r="N20" i="52"/>
  <c r="H11" i="1"/>
  <c r="G33" i="52"/>
  <c r="O23" i="52"/>
  <c r="O21" i="52"/>
  <c r="G94" i="4"/>
  <c r="I94" i="4" s="1"/>
  <c r="O20" i="52"/>
  <c r="R77" i="4"/>
  <c r="N22" i="52"/>
  <c r="N85" i="4"/>
  <c r="Q77" i="4"/>
  <c r="O88" i="4"/>
  <c r="N88" i="4"/>
  <c r="J38" i="24"/>
  <c r="K38" i="24" s="1"/>
  <c r="O22" i="52"/>
  <c r="N86" i="4"/>
  <c r="N21" i="52"/>
  <c r="F27" i="1"/>
  <c r="H27" i="1" s="1"/>
  <c r="F19" i="46" s="1"/>
  <c r="H3" i="59"/>
  <c r="M68" i="24"/>
  <c r="G17" i="1"/>
  <c r="I19" i="25" s="1"/>
  <c r="V19" i="25" s="1"/>
  <c r="O62" i="24"/>
  <c r="P62" i="24" s="1"/>
  <c r="G12" i="1"/>
  <c r="E120" i="24" s="1"/>
  <c r="H120" i="24" s="1"/>
  <c r="O61" i="24"/>
  <c r="P61" i="24" s="1"/>
  <c r="F120" i="24"/>
  <c r="I120" i="24" s="1"/>
  <c r="J19" i="25"/>
  <c r="W19" i="25" s="1"/>
  <c r="H19" i="25"/>
  <c r="U19" i="25" s="1"/>
  <c r="D120" i="24"/>
  <c r="G120" i="24" s="1"/>
  <c r="P89" i="4"/>
  <c r="O89" i="4"/>
  <c r="C15" i="49"/>
  <c r="N89" i="4" l="1"/>
  <c r="G19" i="46"/>
  <c r="G21" i="46" s="1"/>
  <c r="F21" i="46"/>
  <c r="H2" i="59"/>
  <c r="D32" i="51"/>
  <c r="E32" i="51" s="1"/>
  <c r="D29" i="51"/>
  <c r="E29" i="51" s="1"/>
  <c r="C38" i="51" l="1"/>
  <c r="C37" i="51"/>
  <c r="D16" i="49"/>
  <c r="D53" i="49"/>
  <c r="D15" i="49"/>
  <c r="E15" i="49" s="1"/>
  <c r="D38" i="49"/>
  <c r="E36" i="46"/>
  <c r="E35" i="46"/>
  <c r="E33" i="46"/>
  <c r="T17" i="25" l="1"/>
  <c r="S17" i="25"/>
  <c r="E132" i="24" l="1"/>
  <c r="L88" i="4" s="1"/>
  <c r="L86" i="4" l="1"/>
  <c r="L87" i="4"/>
  <c r="L85" i="4"/>
  <c r="I16" i="1"/>
  <c r="I20" i="1" s="1"/>
  <c r="I11" i="1"/>
  <c r="I15" i="1" s="1"/>
  <c r="C49" i="4"/>
  <c r="F42" i="4"/>
  <c r="H42" i="4" s="1"/>
  <c r="I42" i="4" s="1"/>
  <c r="L42" i="4" s="1"/>
  <c r="L89" i="4" l="1"/>
  <c r="I21" i="1"/>
  <c r="E50" i="4"/>
  <c r="E52" i="4"/>
  <c r="F52" i="4" s="1"/>
  <c r="H52" i="4" s="1"/>
  <c r="I52" i="4" s="1"/>
  <c r="L52" i="4" s="1"/>
  <c r="E51" i="4"/>
  <c r="F51" i="4" s="1"/>
  <c r="H51" i="4" s="1"/>
  <c r="I51" i="4" s="1"/>
  <c r="L51" i="4" s="1"/>
  <c r="F18" i="25"/>
  <c r="F11" i="25"/>
  <c r="E54" i="4"/>
  <c r="F54" i="4" s="1"/>
  <c r="H54" i="4" s="1"/>
  <c r="I54" i="4" s="1"/>
  <c r="E53" i="4"/>
  <c r="F53" i="4" s="1"/>
  <c r="H53" i="4" s="1"/>
  <c r="I53" i="4" s="1"/>
  <c r="L53" i="4" s="1"/>
  <c r="H41" i="4"/>
  <c r="I41" i="4" s="1"/>
  <c r="L41" i="4" s="1"/>
  <c r="F43" i="4"/>
  <c r="H43" i="4" s="1"/>
  <c r="I43" i="4" s="1"/>
  <c r="C31" i="4" l="1"/>
  <c r="C30" i="4"/>
  <c r="C32" i="4"/>
  <c r="F50" i="4"/>
  <c r="H50" i="4" s="1"/>
  <c r="F40" i="4"/>
  <c r="H40" i="4" s="1"/>
  <c r="I40" i="4" s="1"/>
  <c r="L40" i="4" s="1"/>
  <c r="I39" i="4" l="1"/>
  <c r="L39" i="4" s="1"/>
  <c r="I50" i="4"/>
  <c r="L50" i="4" s="1"/>
  <c r="F48" i="4"/>
  <c r="F37" i="4"/>
  <c r="C29" i="4"/>
  <c r="C28" i="4"/>
  <c r="E28" i="4" l="1"/>
  <c r="C27" i="4"/>
  <c r="C19" i="24" l="1"/>
  <c r="C20" i="24" s="1"/>
  <c r="C24" i="24" s="1"/>
  <c r="C26" i="24" s="1"/>
  <c r="G223" i="1" l="1"/>
  <c r="G222" i="1"/>
  <c r="G224" i="1"/>
  <c r="J11" i="25"/>
  <c r="W11" i="25" s="1"/>
  <c r="H11" i="25"/>
  <c r="C23" i="24"/>
  <c r="C25" i="24" s="1"/>
  <c r="F222" i="1" s="1"/>
  <c r="E19" i="46" l="1"/>
  <c r="D19" i="46" s="1"/>
  <c r="D129" i="46" s="1"/>
  <c r="U11" i="25"/>
  <c r="F223" i="1"/>
  <c r="F224" i="1"/>
  <c r="D37" i="51"/>
  <c r="C16" i="49"/>
  <c r="G45" i="51"/>
  <c r="J24" i="49"/>
  <c r="F36" i="46"/>
  <c r="F35" i="46"/>
  <c r="F33" i="46"/>
  <c r="E78" i="4"/>
  <c r="E79" i="4"/>
  <c r="D31" i="11"/>
  <c r="D32" i="11" s="1"/>
  <c r="D11" i="11" s="1"/>
  <c r="E19" i="51"/>
  <c r="L13" i="16"/>
  <c r="L14" i="16"/>
  <c r="L12" i="16"/>
  <c r="E24" i="52"/>
  <c r="G24" i="52" s="1"/>
  <c r="E19" i="52"/>
  <c r="M19" i="52" s="1"/>
  <c r="M25" i="52" s="1"/>
  <c r="G11" i="25"/>
  <c r="G19" i="25"/>
  <c r="D18" i="25"/>
  <c r="O12" i="16" l="1"/>
  <c r="O16" i="16" s="1"/>
  <c r="N12" i="16"/>
  <c r="E21" i="46"/>
  <c r="D21" i="46"/>
  <c r="G20" i="63"/>
  <c r="G22" i="63" s="1"/>
  <c r="D13" i="11"/>
  <c r="I14" i="54" s="1"/>
  <c r="H93" i="46" s="1"/>
  <c r="I93" i="46" s="1"/>
  <c r="F64" i="46" s="1"/>
  <c r="D36" i="46" s="1"/>
  <c r="D12" i="52"/>
  <c r="F18" i="34" s="1"/>
  <c r="C30" i="52"/>
  <c r="C34" i="52" s="1"/>
  <c r="P78" i="4"/>
  <c r="C95" i="4" s="1"/>
  <c r="L79" i="4"/>
  <c r="G79" i="4"/>
  <c r="I24" i="52"/>
  <c r="I25" i="52" s="1"/>
  <c r="F11" i="52" s="1"/>
  <c r="H24" i="52"/>
  <c r="O19" i="52"/>
  <c r="N19" i="52"/>
  <c r="P19" i="52"/>
  <c r="P25" i="52" s="1"/>
  <c r="E16" i="49"/>
  <c r="E17" i="49" s="1"/>
  <c r="D22" i="49" s="1"/>
  <c r="C17" i="49"/>
  <c r="J28" i="49"/>
  <c r="J23" i="49"/>
  <c r="J26" i="49"/>
  <c r="N16" i="16"/>
  <c r="D96" i="4"/>
  <c r="D34" i="52"/>
  <c r="D98" i="4"/>
  <c r="N14" i="16"/>
  <c r="H45" i="51"/>
  <c r="D12" i="51" s="1"/>
  <c r="G25" i="52"/>
  <c r="J24" i="52"/>
  <c r="J25" i="52" s="1"/>
  <c r="G11" i="52" s="1"/>
  <c r="K43" i="4"/>
  <c r="N13" i="16"/>
  <c r="J27" i="49"/>
  <c r="J25" i="49"/>
  <c r="O13" i="16"/>
  <c r="O14" i="16"/>
  <c r="E20" i="51"/>
  <c r="E21" i="51" s="1"/>
  <c r="E14" i="46"/>
  <c r="F56" i="49"/>
  <c r="H56" i="49" s="1"/>
  <c r="F14" i="46"/>
  <c r="C21" i="51"/>
  <c r="N17" i="16" l="1"/>
  <c r="N19" i="16" s="1"/>
  <c r="O17" i="16"/>
  <c r="T24" i="25" s="1"/>
  <c r="V24" i="25" s="1"/>
  <c r="G34" i="63"/>
  <c r="D139" i="46"/>
  <c r="E30" i="52"/>
  <c r="F30" i="52" s="1"/>
  <c r="Q78" i="4"/>
  <c r="R78" i="4"/>
  <c r="M79" i="4"/>
  <c r="G11" i="4" s="1"/>
  <c r="I11" i="34" s="1"/>
  <c r="G82" i="46" s="1"/>
  <c r="I82" i="46" s="1"/>
  <c r="F53" i="46" s="1"/>
  <c r="D11" i="4"/>
  <c r="D16" i="4" s="1"/>
  <c r="E95" i="4"/>
  <c r="S78" i="4"/>
  <c r="J79" i="4"/>
  <c r="H79" i="4"/>
  <c r="I79" i="4"/>
  <c r="C11" i="52"/>
  <c r="D17" i="34" s="1"/>
  <c r="F14" i="25"/>
  <c r="H25" i="52"/>
  <c r="E11" i="52" s="1"/>
  <c r="T27" i="25"/>
  <c r="G81" i="46" s="1"/>
  <c r="I81" i="46" s="1"/>
  <c r="I11" i="25"/>
  <c r="V11" i="25" s="1"/>
  <c r="E32" i="52"/>
  <c r="I17" i="34"/>
  <c r="G87" i="46" s="1"/>
  <c r="J29" i="49"/>
  <c r="C11" i="49" s="1"/>
  <c r="H13" i="54" s="1"/>
  <c r="H15" i="54" s="1"/>
  <c r="D13" i="54"/>
  <c r="J17" i="34"/>
  <c r="H87" i="46" s="1"/>
  <c r="D21" i="25"/>
  <c r="G36" i="46"/>
  <c r="G12" i="52"/>
  <c r="O25" i="52"/>
  <c r="F12" i="52" s="1"/>
  <c r="N25" i="52"/>
  <c r="E12" i="52" s="1"/>
  <c r="F44" i="49"/>
  <c r="H44" i="49" s="1"/>
  <c r="F57" i="49"/>
  <c r="H57" i="49" s="1"/>
  <c r="F43" i="49"/>
  <c r="H43" i="49" s="1"/>
  <c r="F42" i="49"/>
  <c r="H42" i="49" s="1"/>
  <c r="F40" i="49"/>
  <c r="H40" i="49" s="1"/>
  <c r="F58" i="49"/>
  <c r="H58" i="49" s="1"/>
  <c r="F59" i="49"/>
  <c r="H59" i="49" s="1"/>
  <c r="F41" i="49"/>
  <c r="H41" i="49" s="1"/>
  <c r="F54" i="49"/>
  <c r="H54" i="49" s="1"/>
  <c r="F55" i="49"/>
  <c r="H55" i="49" s="1"/>
  <c r="F39" i="49"/>
  <c r="H39" i="49" s="1"/>
  <c r="D38" i="51"/>
  <c r="D39" i="51" s="1"/>
  <c r="C12" i="51" s="1"/>
  <c r="C39" i="51"/>
  <c r="C11" i="54" s="1"/>
  <c r="S24" i="25" l="1"/>
  <c r="U24" i="25" s="1"/>
  <c r="O19" i="16"/>
  <c r="G12" i="51"/>
  <c r="G11" i="54" s="1"/>
  <c r="E34" i="52"/>
  <c r="G30" i="52"/>
  <c r="H30" i="52"/>
  <c r="D25" i="25"/>
  <c r="D102" i="46" s="1"/>
  <c r="G74" i="46"/>
  <c r="F17" i="25"/>
  <c r="G73" i="46" s="1"/>
  <c r="I73" i="46" s="1"/>
  <c r="V27" i="25"/>
  <c r="H17" i="34"/>
  <c r="F87" i="46" s="1"/>
  <c r="I87" i="46" s="1"/>
  <c r="F58" i="46" s="1"/>
  <c r="E11" i="34"/>
  <c r="G95" i="4"/>
  <c r="F95" i="4"/>
  <c r="H95" i="4"/>
  <c r="G32" i="52"/>
  <c r="H32" i="52"/>
  <c r="F32" i="52"/>
  <c r="F34" i="52" s="1"/>
  <c r="F52" i="46"/>
  <c r="D30" i="46" s="1"/>
  <c r="D14" i="25"/>
  <c r="D17" i="25" s="1"/>
  <c r="E14" i="25"/>
  <c r="G92" i="46"/>
  <c r="F30" i="46"/>
  <c r="E21" i="25"/>
  <c r="F21" i="25"/>
  <c r="H45" i="49"/>
  <c r="B11" i="49" s="1"/>
  <c r="G13" i="54" s="1"/>
  <c r="F92" i="46" s="1"/>
  <c r="H60" i="49"/>
  <c r="D11" i="49" s="1"/>
  <c r="I13" i="54" s="1"/>
  <c r="I15" i="54" s="1"/>
  <c r="D28" i="25" l="1"/>
  <c r="I95" i="4"/>
  <c r="G28" i="63"/>
  <c r="D130" i="46"/>
  <c r="H34" i="52"/>
  <c r="G13" i="52" s="1"/>
  <c r="G34" i="52"/>
  <c r="F13" i="52" s="1"/>
  <c r="G79" i="46"/>
  <c r="F25" i="25"/>
  <c r="F28" i="25" s="1"/>
  <c r="D13" i="52"/>
  <c r="G19" i="34" s="1"/>
  <c r="F90" i="46"/>
  <c r="I90" i="46" s="1"/>
  <c r="F61" i="46" s="1"/>
  <c r="D33" i="46" s="1"/>
  <c r="G15" i="54"/>
  <c r="S25" i="25"/>
  <c r="F80" i="46" s="1"/>
  <c r="E17" i="25"/>
  <c r="E25" i="25"/>
  <c r="F79" i="46" s="1"/>
  <c r="H92" i="46"/>
  <c r="I92" i="46" s="1"/>
  <c r="F63" i="46" s="1"/>
  <c r="E32" i="46"/>
  <c r="T25" i="25"/>
  <c r="J18" i="34"/>
  <c r="G31" i="63" l="1"/>
  <c r="D136" i="46"/>
  <c r="I79" i="46"/>
  <c r="G78" i="46"/>
  <c r="I78" i="46" s="1"/>
  <c r="E102" i="46" s="1"/>
  <c r="E28" i="25"/>
  <c r="D99" i="46"/>
  <c r="D105" i="46" s="1"/>
  <c r="T28" i="25"/>
  <c r="G80" i="46"/>
  <c r="I80" i="46" s="1"/>
  <c r="F51" i="46" s="1"/>
  <c r="F74" i="46"/>
  <c r="I74" i="46" s="1"/>
  <c r="F45" i="46" s="1"/>
  <c r="F48" i="46"/>
  <c r="E103" i="46"/>
  <c r="D35" i="46"/>
  <c r="I19" i="34"/>
  <c r="G89" i="46" s="1"/>
  <c r="F14" i="52"/>
  <c r="J19" i="34"/>
  <c r="H89" i="46" s="1"/>
  <c r="G14" i="52"/>
  <c r="G33" i="46"/>
  <c r="E13" i="52"/>
  <c r="E14" i="52" s="1"/>
  <c r="S28" i="25"/>
  <c r="G30" i="46"/>
  <c r="H18" i="34"/>
  <c r="I18" i="34"/>
  <c r="H88" i="46"/>
  <c r="F44" i="46"/>
  <c r="E99" i="46"/>
  <c r="R28" i="25"/>
  <c r="G12" i="25"/>
  <c r="G35" i="46"/>
  <c r="G33" i="63" l="1"/>
  <c r="D138" i="46"/>
  <c r="H19" i="34"/>
  <c r="F89" i="46" s="1"/>
  <c r="I89" i="46" s="1"/>
  <c r="F60" i="46" s="1"/>
  <c r="G32" i="46" s="1"/>
  <c r="J20" i="34"/>
  <c r="G14" i="46"/>
  <c r="E30" i="46"/>
  <c r="J12" i="25"/>
  <c r="W12" i="25" s="1"/>
  <c r="I12" i="25"/>
  <c r="V12" i="25" s="1"/>
  <c r="F88" i="46"/>
  <c r="I20" i="34"/>
  <c r="G88" i="46"/>
  <c r="F49" i="46"/>
  <c r="E105" i="46"/>
  <c r="F50" i="46"/>
  <c r="Q28" i="25"/>
  <c r="D14" i="46"/>
  <c r="G15" i="63" l="1"/>
  <c r="H20" i="34"/>
  <c r="I88" i="46"/>
  <c r="F59" i="46" s="1"/>
  <c r="D32" i="46" s="1"/>
  <c r="E29" i="46"/>
  <c r="G30" i="63" l="1"/>
  <c r="D135" i="46"/>
  <c r="F32" i="46"/>
  <c r="F43" i="46"/>
  <c r="E100" i="46"/>
  <c r="E106" i="46" s="1"/>
  <c r="E28" i="46" l="1"/>
  <c r="E12" i="46" s="1"/>
  <c r="H16" i="1" l="1"/>
  <c r="F121" i="24" s="1"/>
  <c r="F16" i="1"/>
  <c r="D121" i="24" s="1"/>
  <c r="G16" i="1"/>
  <c r="E121" i="24" s="1"/>
  <c r="K21" i="25"/>
  <c r="G18" i="25"/>
  <c r="H121" i="24" l="1"/>
  <c r="G217" i="1" s="1"/>
  <c r="M21" i="25" s="1"/>
  <c r="I121" i="24"/>
  <c r="H217" i="1" s="1"/>
  <c r="N21" i="25" s="1"/>
  <c r="K25" i="25"/>
  <c r="H18" i="25"/>
  <c r="I18" i="25"/>
  <c r="V18" i="25" s="1"/>
  <c r="J18" i="25"/>
  <c r="W18" i="25" s="1"/>
  <c r="N25" i="25" l="1"/>
  <c r="H76" i="46" s="1"/>
  <c r="V21" i="25"/>
  <c r="M25" i="25"/>
  <c r="G76" i="46" s="1"/>
  <c r="G121" i="24"/>
  <c r="F217" i="1" s="1"/>
  <c r="L21" i="25" s="1"/>
  <c r="L25" i="25" s="1"/>
  <c r="U18" i="25"/>
  <c r="W21" i="25"/>
  <c r="F76" i="46" l="1"/>
  <c r="I76" i="46" s="1"/>
  <c r="F47" i="46" s="1"/>
  <c r="U21" i="25"/>
  <c r="G29" i="46" l="1"/>
  <c r="M54" i="4" l="1"/>
  <c r="C97" i="4" s="1"/>
  <c r="E97" i="4" s="1"/>
  <c r="F97" i="4" l="1"/>
  <c r="G97" i="4"/>
  <c r="H97" i="4"/>
  <c r="O54" i="4"/>
  <c r="P54" i="4"/>
  <c r="N54" i="4"/>
  <c r="C230" i="1"/>
  <c r="Q54" i="4" l="1"/>
  <c r="I97" i="4"/>
  <c r="N51" i="4"/>
  <c r="O51" i="4"/>
  <c r="P51" i="4"/>
  <c r="O52" i="4"/>
  <c r="P52" i="4"/>
  <c r="N52" i="4"/>
  <c r="I48" i="4"/>
  <c r="N53" i="4"/>
  <c r="O53" i="4"/>
  <c r="P53" i="4"/>
  <c r="F230" i="1"/>
  <c r="G230" i="1"/>
  <c r="Q52" i="4" l="1"/>
  <c r="Q53" i="4"/>
  <c r="Q51" i="4"/>
  <c r="P50" i="4"/>
  <c r="N50" i="4"/>
  <c r="O50" i="4"/>
  <c r="D31" i="4"/>
  <c r="Q50" i="4" l="1"/>
  <c r="D132" i="46" s="1"/>
  <c r="O42" i="4"/>
  <c r="H31" i="4" s="1"/>
  <c r="D29" i="4"/>
  <c r="C22" i="4" s="1"/>
  <c r="I37" i="4" l="1"/>
  <c r="D27" i="4" s="1"/>
  <c r="P42" i="4"/>
  <c r="I31" i="4" s="1"/>
  <c r="E31" i="4"/>
  <c r="N42" i="4"/>
  <c r="D30" i="4"/>
  <c r="E29" i="4"/>
  <c r="C12" i="4" s="1"/>
  <c r="P40" i="4"/>
  <c r="I29" i="4" s="1"/>
  <c r="H12" i="4" s="1"/>
  <c r="N40" i="4"/>
  <c r="O40" i="4"/>
  <c r="H29" i="4" s="1"/>
  <c r="G12" i="4" s="1"/>
  <c r="D28" i="4"/>
  <c r="C21" i="4" l="1"/>
  <c r="G29" i="4"/>
  <c r="F12" i="4" s="1"/>
  <c r="Q40" i="4"/>
  <c r="G31" i="4"/>
  <c r="Q42" i="4"/>
  <c r="M43" i="4"/>
  <c r="C96" i="4" s="1"/>
  <c r="C98" i="4" s="1"/>
  <c r="D32" i="4"/>
  <c r="C23" i="4" s="1"/>
  <c r="D22" i="4"/>
  <c r="E22" i="4" s="1"/>
  <c r="D12" i="34"/>
  <c r="E30" i="4"/>
  <c r="C15" i="4" s="1"/>
  <c r="C16" i="4" s="1"/>
  <c r="P41" i="4"/>
  <c r="I30" i="4" s="1"/>
  <c r="N41" i="4"/>
  <c r="O41" i="4"/>
  <c r="H30" i="4" s="1"/>
  <c r="I22" i="4"/>
  <c r="H22" i="4"/>
  <c r="P39" i="4"/>
  <c r="I28" i="4" s="1"/>
  <c r="O39" i="4"/>
  <c r="H28" i="4" s="1"/>
  <c r="N39" i="4"/>
  <c r="J22" i="4"/>
  <c r="H15" i="4" l="1"/>
  <c r="J15" i="34" s="1"/>
  <c r="H86" i="46" s="1"/>
  <c r="G15" i="4"/>
  <c r="I15" i="34" s="1"/>
  <c r="G86" i="46" s="1"/>
  <c r="D21" i="4"/>
  <c r="G30" i="4"/>
  <c r="Q41" i="4"/>
  <c r="G28" i="4"/>
  <c r="Q39" i="4"/>
  <c r="O43" i="4"/>
  <c r="H32" i="4" s="1"/>
  <c r="G13" i="4" s="1"/>
  <c r="C229" i="1"/>
  <c r="N43" i="4"/>
  <c r="F32" i="4"/>
  <c r="E13" i="4" s="1"/>
  <c r="P43" i="4"/>
  <c r="I32" i="4" s="1"/>
  <c r="H13" i="4" s="1"/>
  <c r="I12" i="34"/>
  <c r="E21" i="4"/>
  <c r="I21" i="4"/>
  <c r="K22" i="4"/>
  <c r="L22" i="4" s="1"/>
  <c r="J12" i="34"/>
  <c r="J21" i="4"/>
  <c r="H12" i="34"/>
  <c r="F15" i="4" l="1"/>
  <c r="H15" i="34" s="1"/>
  <c r="F86" i="46" s="1"/>
  <c r="I86" i="46" s="1"/>
  <c r="F57" i="46" s="1"/>
  <c r="H21" i="4"/>
  <c r="K21" i="4" s="1"/>
  <c r="L21" i="4" s="1"/>
  <c r="G32" i="4"/>
  <c r="Q43" i="4"/>
  <c r="D15" i="34"/>
  <c r="J13" i="34"/>
  <c r="H84" i="46" s="1"/>
  <c r="I13" i="34"/>
  <c r="G84" i="46" s="1"/>
  <c r="F13" i="34"/>
  <c r="F23" i="4"/>
  <c r="G23" i="4" s="1"/>
  <c r="F229" i="1"/>
  <c r="F231" i="1" s="1"/>
  <c r="D14" i="1" s="1"/>
  <c r="G229" i="1"/>
  <c r="G231" i="1" s="1"/>
  <c r="D19" i="1" s="1"/>
  <c r="C231" i="1"/>
  <c r="G83" i="46"/>
  <c r="F83" i="46"/>
  <c r="H83" i="46"/>
  <c r="F13" i="4" l="1"/>
  <c r="H13" i="34" s="1"/>
  <c r="F84" i="46" s="1"/>
  <c r="I84" i="46" s="1"/>
  <c r="F55" i="46" s="1"/>
  <c r="I83" i="46"/>
  <c r="F54" i="46" s="1"/>
  <c r="G19" i="1"/>
  <c r="G20" i="1" s="1"/>
  <c r="G23" i="25"/>
  <c r="G25" i="25" s="1"/>
  <c r="D101" i="46" s="1"/>
  <c r="H19" i="1"/>
  <c r="H20" i="1" s="1"/>
  <c r="F19" i="1"/>
  <c r="F20" i="1" s="1"/>
  <c r="H14" i="1"/>
  <c r="H15" i="1" s="1"/>
  <c r="F14" i="1"/>
  <c r="F15" i="1" s="1"/>
  <c r="G16" i="25"/>
  <c r="G17" i="25" s="1"/>
  <c r="D15" i="1"/>
  <c r="G14" i="1"/>
  <c r="G15" i="1" s="1"/>
  <c r="E96" i="4"/>
  <c r="E98" i="4" s="1"/>
  <c r="F31" i="46" l="1"/>
  <c r="F13" i="46" s="1"/>
  <c r="E14" i="4"/>
  <c r="E16" i="4" s="1"/>
  <c r="D21" i="1"/>
  <c r="C216" i="1"/>
  <c r="H23" i="25"/>
  <c r="G96" i="4"/>
  <c r="G98" i="4" s="1"/>
  <c r="G14" i="34"/>
  <c r="H96" i="4"/>
  <c r="H98" i="4" s="1"/>
  <c r="F96" i="4"/>
  <c r="G28" i="25"/>
  <c r="D98" i="46"/>
  <c r="D104" i="46" s="1"/>
  <c r="J23" i="25"/>
  <c r="J25" i="25" s="1"/>
  <c r="H16" i="25"/>
  <c r="H17" i="25" s="1"/>
  <c r="I16" i="25"/>
  <c r="I17" i="25" s="1"/>
  <c r="J16" i="25"/>
  <c r="J17" i="25" s="1"/>
  <c r="I23" i="25"/>
  <c r="I25" i="25" s="1"/>
  <c r="E31" i="46"/>
  <c r="H25" i="25" l="1"/>
  <c r="F75" i="46" s="1"/>
  <c r="I96" i="4"/>
  <c r="F98" i="4"/>
  <c r="F14" i="4" s="1"/>
  <c r="F70" i="46"/>
  <c r="E13" i="46"/>
  <c r="E37" i="46"/>
  <c r="F21" i="1"/>
  <c r="H21" i="1"/>
  <c r="G21" i="1"/>
  <c r="H70" i="46"/>
  <c r="W16" i="25"/>
  <c r="U16" i="25"/>
  <c r="U23" i="25"/>
  <c r="H14" i="4"/>
  <c r="J23" i="4"/>
  <c r="G75" i="46"/>
  <c r="V23" i="25"/>
  <c r="E216" i="1"/>
  <c r="C218" i="1"/>
  <c r="E218" i="1" s="1"/>
  <c r="G70" i="46"/>
  <c r="V16" i="25"/>
  <c r="H75" i="46"/>
  <c r="W23" i="25"/>
  <c r="H23" i="4"/>
  <c r="I23" i="4"/>
  <c r="G14" i="4"/>
  <c r="U25" i="25" l="1"/>
  <c r="I98" i="4"/>
  <c r="D131" i="46"/>
  <c r="E15" i="46"/>
  <c r="I75" i="46"/>
  <c r="E101" i="46" s="1"/>
  <c r="I70" i="46"/>
  <c r="W25" i="25"/>
  <c r="V25" i="25"/>
  <c r="K23" i="4"/>
  <c r="M23" i="4" s="1"/>
  <c r="G16" i="4"/>
  <c r="I14" i="34"/>
  <c r="G216" i="1"/>
  <c r="M14" i="25" s="1"/>
  <c r="M17" i="25" s="1"/>
  <c r="H216" i="1"/>
  <c r="K14" i="25"/>
  <c r="K17" i="25" s="1"/>
  <c r="K28" i="25" s="1"/>
  <c r="F216" i="1"/>
  <c r="J14" i="34"/>
  <c r="H16" i="4"/>
  <c r="H28" i="25"/>
  <c r="H14" i="34"/>
  <c r="F16" i="4"/>
  <c r="I28" i="25"/>
  <c r="J28" i="25"/>
  <c r="F46" i="46" l="1"/>
  <c r="H218" i="1"/>
  <c r="N14" i="25"/>
  <c r="N17" i="25" s="1"/>
  <c r="H16" i="34"/>
  <c r="H21" i="34" s="1"/>
  <c r="F85" i="46"/>
  <c r="J16" i="34"/>
  <c r="J21" i="34" s="1"/>
  <c r="H85" i="46"/>
  <c r="G218" i="1"/>
  <c r="F218" i="1"/>
  <c r="L14" i="25"/>
  <c r="L17" i="25" s="1"/>
  <c r="G85" i="46"/>
  <c r="I16" i="34"/>
  <c r="I21" i="34" s="1"/>
  <c r="D29" i="46" l="1"/>
  <c r="F29" i="46"/>
  <c r="V14" i="25"/>
  <c r="G71" i="46"/>
  <c r="G94" i="46" s="1"/>
  <c r="I85" i="46"/>
  <c r="F56" i="46" s="1"/>
  <c r="U14" i="25"/>
  <c r="W14" i="25"/>
  <c r="H71" i="46"/>
  <c r="H94" i="46" s="1"/>
  <c r="F41" i="46"/>
  <c r="E98" i="46"/>
  <c r="D31" i="46" l="1"/>
  <c r="G27" i="63"/>
  <c r="D128" i="46"/>
  <c r="F71" i="46"/>
  <c r="U17" i="25"/>
  <c r="F28" i="46"/>
  <c r="F37" i="46" s="1"/>
  <c r="G31" i="46"/>
  <c r="G13" i="46" s="1"/>
  <c r="V17" i="25"/>
  <c r="M28" i="25"/>
  <c r="V28" i="25" s="1"/>
  <c r="W17" i="25"/>
  <c r="N28" i="25"/>
  <c r="W28" i="25" s="1"/>
  <c r="F102" i="46"/>
  <c r="F98" i="46"/>
  <c r="E104" i="46"/>
  <c r="F104" i="46" s="1"/>
  <c r="F100" i="46"/>
  <c r="F99" i="46"/>
  <c r="F105" i="46"/>
  <c r="F101" i="46"/>
  <c r="F106" i="46"/>
  <c r="F103" i="46"/>
  <c r="L28" i="25"/>
  <c r="U28" i="25" s="1"/>
  <c r="G29" i="63" l="1"/>
  <c r="D134" i="46"/>
  <c r="I71" i="46"/>
  <c r="I94" i="46" s="1"/>
  <c r="F94" i="46"/>
  <c r="F12" i="46"/>
  <c r="D13" i="46"/>
  <c r="G14" i="63" s="1"/>
  <c r="F15" i="46" l="1"/>
  <c r="F42" i="46"/>
  <c r="D28" i="46" l="1"/>
  <c r="F65" i="46"/>
  <c r="G28" i="46"/>
  <c r="G26" i="63" l="1"/>
  <c r="G35" i="63" s="1"/>
  <c r="D127" i="46"/>
  <c r="D37" i="46"/>
  <c r="D12" i="46"/>
  <c r="G37" i="46"/>
  <c r="G12" i="46"/>
  <c r="D140" i="46" l="1"/>
  <c r="C151" i="46" s="1"/>
  <c r="G15" i="46"/>
  <c r="D15" i="46"/>
  <c r="G13" i="63"/>
  <c r="G16" i="63" s="1"/>
  <c r="C121" i="46"/>
  <c r="C123" i="46"/>
  <c r="C117" i="46"/>
  <c r="C120" i="46"/>
  <c r="C122" i="46"/>
  <c r="C119" i="46"/>
  <c r="C116" i="46"/>
  <c r="C118" i="46"/>
  <c r="C115" i="46"/>
  <c r="C144" i="46" l="1"/>
  <c r="C152" i="46"/>
  <c r="C147" i="46"/>
  <c r="C153" i="46"/>
  <c r="C150" i="46"/>
  <c r="C146" i="46"/>
  <c r="C149" i="46"/>
  <c r="C148" i="46"/>
  <c r="C145" i="4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tc={D0947506-908D-4B38-A074-B878DB0C0261}</author>
    <author>tc={8E50B670-F86E-4B31-B3E6-ADF29A124324}</author>
  </authors>
  <commentList>
    <comment ref="B70" authorId="0" shapeId="0" xr:uid="{D0947506-908D-4B38-A074-B878DB0C0261}">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Update note if default changes</t>
        </r>
      </text>
    </comment>
    <comment ref="C100" authorId="1" shapeId="0" xr:uid="{00000000-0006-0000-0700-00000100000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Why 12%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Aki, Megan</author>
  </authors>
  <commentList>
    <comment ref="F36" authorId="0" shapeId="0" xr:uid="{00000000-0006-0000-0D00-000001000000}">
      <text>
        <r>
          <rPr>
            <b/>
            <sz val="9"/>
            <color indexed="81"/>
            <rFont val="Tahoma"/>
            <family val="2"/>
          </rPr>
          <t>Aki, Megan:</t>
        </r>
        <r>
          <rPr>
            <sz val="9"/>
            <color indexed="81"/>
            <rFont val="Tahoma"/>
            <family val="2"/>
          </rPr>
          <t xml:space="preserve">
Come back to this with Lily</t>
        </r>
      </text>
    </comment>
    <comment ref="F47" authorId="0" shapeId="0" xr:uid="{00000000-0006-0000-0D00-000002000000}">
      <text>
        <r>
          <rPr>
            <b/>
            <sz val="9"/>
            <color indexed="81"/>
            <rFont val="Tahoma"/>
            <family val="2"/>
          </rPr>
          <t>Aki, Megan:</t>
        </r>
        <r>
          <rPr>
            <sz val="9"/>
            <color indexed="81"/>
            <rFont val="Tahoma"/>
            <family val="2"/>
          </rPr>
          <t xml:space="preserve">
Come back to this with Lily</t>
        </r>
      </text>
    </comment>
  </commentList>
</comments>
</file>

<file path=xl/sharedStrings.xml><?xml version="1.0" encoding="utf-8"?>
<sst xmlns="http://schemas.openxmlformats.org/spreadsheetml/2006/main" count="2818" uniqueCount="1709">
  <si>
    <t>Sector</t>
  </si>
  <si>
    <t>Industrial Equipment</t>
  </si>
  <si>
    <t>Lawn and Garden Equipment</t>
  </si>
  <si>
    <t>Light Commercial Equipment</t>
  </si>
  <si>
    <t>Units</t>
  </si>
  <si>
    <t>Source</t>
  </si>
  <si>
    <t>Electricity</t>
  </si>
  <si>
    <t>Natural Gas</t>
  </si>
  <si>
    <t>Diesel</t>
  </si>
  <si>
    <t>Gasoline</t>
  </si>
  <si>
    <t>Transportation</t>
  </si>
  <si>
    <t>Landfilled Waste</t>
  </si>
  <si>
    <t>Multiple Fuels</t>
  </si>
  <si>
    <t xml:space="preserve">Solid Waste Disposal  </t>
  </si>
  <si>
    <t>Cambridge</t>
  </si>
  <si>
    <t>Commercial</t>
  </si>
  <si>
    <t>Industrial</t>
  </si>
  <si>
    <t>Waste</t>
  </si>
  <si>
    <t>On-road</t>
  </si>
  <si>
    <t>Off-road</t>
  </si>
  <si>
    <t>DOC</t>
  </si>
  <si>
    <t>Food Waste</t>
  </si>
  <si>
    <t>Garden Waste and Plant Debris</t>
  </si>
  <si>
    <t>Paper</t>
  </si>
  <si>
    <t>Wood</t>
  </si>
  <si>
    <t>Textiles</t>
  </si>
  <si>
    <t>Industrial Waste</t>
  </si>
  <si>
    <t>Residential Total</t>
  </si>
  <si>
    <t>Methane (CH4)</t>
  </si>
  <si>
    <t>Nitrous Oxide (N2O)</t>
  </si>
  <si>
    <t>EPA</t>
  </si>
  <si>
    <t>kWh</t>
  </si>
  <si>
    <t>Natural Gas (Therms)</t>
  </si>
  <si>
    <t>Fuel Oil</t>
  </si>
  <si>
    <t>CH4 Emissions (MT)</t>
  </si>
  <si>
    <t>MCF</t>
  </si>
  <si>
    <t>DOCf</t>
  </si>
  <si>
    <t>F</t>
  </si>
  <si>
    <t>Lo</t>
  </si>
  <si>
    <t>Protein</t>
  </si>
  <si>
    <t>dm(i)</t>
  </si>
  <si>
    <t>CF(i)</t>
  </si>
  <si>
    <t>FCF(i)</t>
  </si>
  <si>
    <t>OF(i)</t>
  </si>
  <si>
    <t>IW(i)</t>
  </si>
  <si>
    <t>EF(i)</t>
  </si>
  <si>
    <t>Passenger Vehicles</t>
  </si>
  <si>
    <t xml:space="preserve">   Gasoline</t>
  </si>
  <si>
    <t xml:space="preserve">   Diesel</t>
  </si>
  <si>
    <t xml:space="preserve">   FlexFuel</t>
  </si>
  <si>
    <t xml:space="preserve">   Electric</t>
  </si>
  <si>
    <t>Commercial Vehicles</t>
  </si>
  <si>
    <t>Public Transit Type</t>
  </si>
  <si>
    <t>Trackless Trolley</t>
  </si>
  <si>
    <t>CNG</t>
  </si>
  <si>
    <t>Total Electricity Consumption (kWh)</t>
  </si>
  <si>
    <t>Total Elec Grid Loss (kWh)</t>
  </si>
  <si>
    <t>Manufacturing Jobs</t>
  </si>
  <si>
    <t>CO2 Emissions (kg)</t>
  </si>
  <si>
    <t>Annual Fuel Oil Use (gal)</t>
  </si>
  <si>
    <t>Winthrop</t>
  </si>
  <si>
    <t>Saugus</t>
  </si>
  <si>
    <t>Fuel Oil (gal)</t>
  </si>
  <si>
    <t>Est. Mass of Waste Incinerated (tons)</t>
  </si>
  <si>
    <t>MT CO2e/gallon</t>
  </si>
  <si>
    <t>Conversion From:</t>
  </si>
  <si>
    <t>Conversion To:</t>
  </si>
  <si>
    <t xml:space="preserve">   Gasoline (Hybrid)</t>
  </si>
  <si>
    <t>MMBTU</t>
  </si>
  <si>
    <t>Standard Cubic Foot (SCF) Natural Gas</t>
  </si>
  <si>
    <t>Compressed Natural Gas</t>
  </si>
  <si>
    <t>MT CO2/MMBTU</t>
  </si>
  <si>
    <t>TCR</t>
  </si>
  <si>
    <t>Fuel Type</t>
  </si>
  <si>
    <t>Vehicle Count</t>
  </si>
  <si>
    <t>Passenger Vehicles w/ Assigned Fuel Type</t>
  </si>
  <si>
    <t>Make</t>
  </si>
  <si>
    <t>Model</t>
  </si>
  <si>
    <t>Nisan</t>
  </si>
  <si>
    <t>Leaf</t>
  </si>
  <si>
    <t>Chevrolet</t>
  </si>
  <si>
    <t>Volt</t>
  </si>
  <si>
    <t>FuelEconomy.Gov</t>
  </si>
  <si>
    <t>Toyota</t>
  </si>
  <si>
    <t>Average Fuel Efficiency (kWh/Mile)</t>
  </si>
  <si>
    <t>Subsector</t>
  </si>
  <si>
    <t>Table 1: Stationary Fuel Emission Factors</t>
  </si>
  <si>
    <t>Gallon Distillate Fuel Oil No. 2</t>
  </si>
  <si>
    <t>Universal Conversion</t>
  </si>
  <si>
    <t xml:space="preserve">Multiply By: </t>
  </si>
  <si>
    <t>MT CO2/SCF</t>
  </si>
  <si>
    <t>Summary of Methodology Used</t>
  </si>
  <si>
    <t>Therm</t>
  </si>
  <si>
    <t>% of Total Energy Emissions</t>
  </si>
  <si>
    <t>CO2 Emissions (MT)</t>
  </si>
  <si>
    <t>All Off-Road Emission Sources</t>
  </si>
  <si>
    <t>Electricity Consumption (kWh)</t>
  </si>
  <si>
    <t>Building Type</t>
  </si>
  <si>
    <t>Annual Fuel Oil Use (MMBtu)</t>
  </si>
  <si>
    <t>Electricity T&amp;D Losses</t>
  </si>
  <si>
    <t>Diesel Energy Use &amp; Emissions</t>
  </si>
  <si>
    <t>CNG Energy Use &amp; Emissions</t>
  </si>
  <si>
    <t>Electricity Energy Use &amp; Emissions</t>
  </si>
  <si>
    <t>Energy Category</t>
  </si>
  <si>
    <t>Table 1: Summary of On-road Energy Use &amp; Emissions by Fuel Type</t>
  </si>
  <si>
    <t>All Emissions: Summary</t>
  </si>
  <si>
    <t>Methane Correction Factor</t>
  </si>
  <si>
    <t>Degradable Organic Carbon (tonnes C/tonnes waste)</t>
  </si>
  <si>
    <t>Fraction of Methane in Landfill Gas</t>
  </si>
  <si>
    <t>Methane Generation Potential</t>
  </si>
  <si>
    <t>Description of Variable</t>
  </si>
  <si>
    <t>GPC Equation 8.4 Variable Corresponding Letter</t>
  </si>
  <si>
    <t>Household Hazardous Waste</t>
  </si>
  <si>
    <t>All Categories</t>
  </si>
  <si>
    <t>Equation 8.1 Waste Category</t>
  </si>
  <si>
    <t>A</t>
  </si>
  <si>
    <t>B</t>
  </si>
  <si>
    <t>C</t>
  </si>
  <si>
    <t>D</t>
  </si>
  <si>
    <t>E</t>
  </si>
  <si>
    <t>Equation 8.1 Corresponding Variable</t>
  </si>
  <si>
    <t>Equation 8.1 Default Carbon Content Value (tonnes C/tonnes waste)</t>
  </si>
  <si>
    <t>Stoichiometric Ratio Between Methane and Carbon</t>
  </si>
  <si>
    <t>16/12</t>
  </si>
  <si>
    <t>Mass Solid Waste Sent to Landfill (MT)</t>
  </si>
  <si>
    <t>MSWx</t>
  </si>
  <si>
    <t>Fraction of Methane Recovered at Landfill</t>
  </si>
  <si>
    <t>frec</t>
  </si>
  <si>
    <t>Oxidation Factor</t>
  </si>
  <si>
    <t>OX</t>
  </si>
  <si>
    <t>Waste Category</t>
  </si>
  <si>
    <t>Metric Ton</t>
  </si>
  <si>
    <t>Short Ton</t>
  </si>
  <si>
    <t>Combusted Waste</t>
  </si>
  <si>
    <t>Municipal Solid Waste (MSW)</t>
  </si>
  <si>
    <t>Other Waste</t>
  </si>
  <si>
    <t>Total Landfilled Waste</t>
  </si>
  <si>
    <t>Non-Municipal Solid Waste (MSW)</t>
  </si>
  <si>
    <t>Total Combusted Waste</t>
  </si>
  <si>
    <t>Waste Type</t>
  </si>
  <si>
    <t>All Waste Disposed of In-state</t>
  </si>
  <si>
    <t>Emissions (MT CH4)</t>
  </si>
  <si>
    <t>Waste Collection Type</t>
  </si>
  <si>
    <t>Table 1: Methane Commitment Estimate for Solid Waste Sent to Landfill (GPC Equation 8.3)</t>
  </si>
  <si>
    <t>Dry Matter Content in Type i Matter</t>
  </si>
  <si>
    <t>Fraction of Carbon in the Dry Matter of Type i Matter</t>
  </si>
  <si>
    <t>Fraction of Fossil Carbon in the Total Carbon Component of Type i Matter</t>
  </si>
  <si>
    <t>Fraction of Waste Consisting of Type i Matter</t>
  </si>
  <si>
    <t>WFi</t>
  </si>
  <si>
    <t xml:space="preserve">m </t>
  </si>
  <si>
    <t>All Incinerated Waste</t>
  </si>
  <si>
    <t>Mass of Waste Incinerated (short tons)</t>
  </si>
  <si>
    <t>i</t>
  </si>
  <si>
    <t>Category of Type of Waste Incinerated</t>
  </si>
  <si>
    <t>Wfi x dmi x Cfi x FCFi x Ofi</t>
  </si>
  <si>
    <t>3) Default Values for Oxidation Factor (OF)  were pulled from GPC Table 8.4.</t>
  </si>
  <si>
    <t>2006 IPCC Guidelines, Vol. 5, Ch. 2</t>
  </si>
  <si>
    <t>See GPC Table 8.4</t>
  </si>
  <si>
    <t>In accordance with GPC Equation 8.6:
1) Defaults values for Dry Matter Content (dm) and Fraction of Carbon in the Dry Matter (CF) were pulled from 2006 IPCC Guidelines, Vol. 5, Ch. 2, Table 2.4.
2) Default values for Fraction of Fossil Carbon in the Total Carbon Component (FCF) were pulled from 2006 IPCC Guidelines, Vol. 5, Ch. 2, Table 2.5.</t>
  </si>
  <si>
    <t>Amount of Solid Waste of Type i  Incinerated (short tons)</t>
  </si>
  <si>
    <t>N2O Emissions (MT)</t>
  </si>
  <si>
    <t>See GPC Table 8.6</t>
  </si>
  <si>
    <t>Aggregate CH4 Emission Factor (g CH4/ton of waste type i)</t>
  </si>
  <si>
    <t>See GPC Table 8.5</t>
  </si>
  <si>
    <t>Table 1: Summary of Emissions From Waste Incineration</t>
  </si>
  <si>
    <t>Aggregate N2O Emission Factor (g N2O/ton of waste type i)</t>
  </si>
  <si>
    <t>Mass of Waste Collected (short tons)</t>
  </si>
  <si>
    <t>Mass of Total Waste Landfilled (short tons)</t>
  </si>
  <si>
    <t>Mass of Total Waste Landfilled  (MT)</t>
  </si>
  <si>
    <t>Data</t>
  </si>
  <si>
    <t>GPC Equation 8.6 Variable Corresponding Letter</t>
  </si>
  <si>
    <t>GPC Equation 8.8 Variable Corresponding Letter</t>
  </si>
  <si>
    <t>GPC Equation 8.7 Variable Corresponding Letter</t>
  </si>
  <si>
    <t>P</t>
  </si>
  <si>
    <t>Annual Per Capita Protein Consumption (kg/person/year)</t>
  </si>
  <si>
    <t>Fraction of Nitrogen in Protein</t>
  </si>
  <si>
    <t>Fnon-con</t>
  </si>
  <si>
    <t>Fnpr</t>
  </si>
  <si>
    <t>Factor for Industrial and Commercial Co-discharged Protein into the Sewer System</t>
  </si>
  <si>
    <t>Find-com</t>
  </si>
  <si>
    <t>Emission Factor for N2O Emissions from Discharged Wastewater (kg N2O-N per kg N2O)</t>
  </si>
  <si>
    <t>Conversion of kg N2O-N into kg N2O</t>
  </si>
  <si>
    <t>44/28</t>
  </si>
  <si>
    <t>GPC Equation 8.11 Variable Corresponding Letter</t>
  </si>
  <si>
    <t>Factor to Adjust for Non-consumed Protein</t>
  </si>
  <si>
    <t>See GPC Equation 8.11</t>
  </si>
  <si>
    <t>Nsludge</t>
  </si>
  <si>
    <t>Nitrogen Removed from Sludge (kg N/year)</t>
  </si>
  <si>
    <t>EFeffluent</t>
  </si>
  <si>
    <t>Pound (lb)</t>
  </si>
  <si>
    <t>Kilogram (kg)</t>
  </si>
  <si>
    <t>Metric Ton (MT)</t>
  </si>
  <si>
    <t>Kilowatt-hour (kWh)</t>
  </si>
  <si>
    <t>Megawatt-hour (MWh)</t>
  </si>
  <si>
    <r>
      <t>MBTA Frequency-weighted Route Distance (miles/year)</t>
    </r>
    <r>
      <rPr>
        <b/>
        <sz val="12"/>
        <color theme="0"/>
        <rFont val="Arial"/>
        <family val="2"/>
      </rPr>
      <t>*</t>
    </r>
  </si>
  <si>
    <t>Stationary Energy</t>
  </si>
  <si>
    <t>Residential Buildings</t>
  </si>
  <si>
    <t>Energy Industries</t>
  </si>
  <si>
    <t>GPC Subsector</t>
  </si>
  <si>
    <t>Commercial &amp; Institutional Buildings</t>
  </si>
  <si>
    <t>Manufacturing Industries &amp; Construction</t>
  </si>
  <si>
    <t>Public Transit Mode</t>
  </si>
  <si>
    <t>EIA Massachusetts Electricity Profile 2014</t>
  </si>
  <si>
    <t>C&amp;I Buildings Total</t>
  </si>
  <si>
    <t>Res. Buildings Total</t>
  </si>
  <si>
    <t>All Subsectors</t>
  </si>
  <si>
    <t>Off-road Emissions Attributable to Commercial &amp; Institutional Buildings Subsector:</t>
  </si>
  <si>
    <t>Comm. &amp; Inst. Buildings</t>
  </si>
  <si>
    <t>All Res. T&amp;D Losses</t>
  </si>
  <si>
    <t>Electricity T&amp;D Losses (kWh)</t>
  </si>
  <si>
    <t>All C&amp;I T&amp;D Losses</t>
  </si>
  <si>
    <t>Table 1: Summary of Energy Emissions from Residential Buildings, Commercial &amp; Institutional Buildings and Manufacturing Industries &amp; Construction Subsectors</t>
  </si>
  <si>
    <t>Effluent</t>
  </si>
  <si>
    <t>Railways</t>
  </si>
  <si>
    <t>Solid Waste Disposal</t>
  </si>
  <si>
    <t>Incineration and Open Burning</t>
  </si>
  <si>
    <t>Wastewater Treatment and Discharge</t>
  </si>
  <si>
    <t>Off-Road (Various Fuels)</t>
  </si>
  <si>
    <t>Scope</t>
  </si>
  <si>
    <t>Rail</t>
  </si>
  <si>
    <t>All On-road Transit</t>
  </si>
  <si>
    <t>Fuel Consumption (MMBTU)</t>
  </si>
  <si>
    <t>Fuel Consumption (Gallons)</t>
  </si>
  <si>
    <t>System Electricity Consumption (kWh/year)</t>
  </si>
  <si>
    <t>Electricity Consumption per Year (kWh)</t>
  </si>
  <si>
    <t>Transit Mode</t>
  </si>
  <si>
    <t>Electricity (T&amp;D Losses)</t>
  </si>
  <si>
    <t>All On-Road Transit:</t>
  </si>
  <si>
    <t xml:space="preserve">All Rail Transit: </t>
  </si>
  <si>
    <t>All Rail Transit:</t>
  </si>
  <si>
    <t>Table 1: Summary of On-road and Rail Transit Emissions by Fuel Type</t>
  </si>
  <si>
    <t>All Building Subsectors:</t>
  </si>
  <si>
    <t>Methane Commitment</t>
  </si>
  <si>
    <t>Incineration</t>
  </si>
  <si>
    <t xml:space="preserve"> Total Emissions (MT CO2e)</t>
  </si>
  <si>
    <t>Scope 1 Emissions (MT CO2e)</t>
  </si>
  <si>
    <t xml:space="preserve"> Scope 2 Emissions (MT CO2e)</t>
  </si>
  <si>
    <t xml:space="preserve"> Scope 3 Emissions (MT CO2e)</t>
  </si>
  <si>
    <t>All Sectors &amp; Subsectors</t>
  </si>
  <si>
    <t>All</t>
  </si>
  <si>
    <t>Estimated Losses (MWh)</t>
  </si>
  <si>
    <t>Grid Loss Factor (%)</t>
  </si>
  <si>
    <t>Direct Use (MWh)</t>
  </si>
  <si>
    <r>
      <t>Grid Loss Factor (elec)</t>
    </r>
    <r>
      <rPr>
        <b/>
        <sz val="12"/>
        <color theme="0"/>
        <rFont val="Arial"/>
        <family val="2"/>
      </rPr>
      <t>*</t>
    </r>
  </si>
  <si>
    <r>
      <t>Grid Loss Factor (%)</t>
    </r>
    <r>
      <rPr>
        <b/>
        <sz val="12"/>
        <color theme="0"/>
        <rFont val="Arial"/>
        <family val="2"/>
      </rPr>
      <t>*</t>
    </r>
  </si>
  <si>
    <t xml:space="preserve"> Electricity Consumption (kWh)</t>
  </si>
  <si>
    <t>Transportation: Rail Energy &amp; Emissions</t>
  </si>
  <si>
    <t>Sector:</t>
  </si>
  <si>
    <t xml:space="preserve">Subsector/s: </t>
  </si>
  <si>
    <t>C&amp;I Buildings + Manuf. Industries &amp; Const.</t>
  </si>
  <si>
    <t>Subsector:</t>
  </si>
  <si>
    <t>Subsectors:</t>
  </si>
  <si>
    <t>All Waste Subsectors</t>
  </si>
  <si>
    <t>All Transportation Subsectors</t>
  </si>
  <si>
    <t>Res. Buildings, C&amp;I Buildings, + Manuf. Industries &amp; Const.</t>
  </si>
  <si>
    <t>All Stationary Energy Subsectors</t>
  </si>
  <si>
    <t>All Sectors</t>
  </si>
  <si>
    <t>Table 1: Rail Transit Energy Consumption &amp; Emissions by Fuel Type</t>
  </si>
  <si>
    <t>In accordance with GPC equation 8.7 Aggregate CH4 Emission Factor for "Continuous Incineration: Stoker" from GPC Table 8.5 was used.</t>
  </si>
  <si>
    <t>Natural Gas Consumption (Therms)</t>
  </si>
  <si>
    <t>PNAS Article</t>
  </si>
  <si>
    <t>Nat. Gas. Dist. Losses</t>
  </si>
  <si>
    <t>Education</t>
  </si>
  <si>
    <t xml:space="preserve">Lodging </t>
  </si>
  <si>
    <t xml:space="preserve">Office </t>
  </si>
  <si>
    <t xml:space="preserve">Service </t>
  </si>
  <si>
    <t xml:space="preserve">Other </t>
  </si>
  <si>
    <t>Food</t>
  </si>
  <si>
    <t>Printing and Related Support</t>
  </si>
  <si>
    <t>Chemicals</t>
  </si>
  <si>
    <t>Computer and Electronic Products</t>
  </si>
  <si>
    <t>Miscellaneous</t>
  </si>
  <si>
    <t>Red Line (Heavy Rail)</t>
  </si>
  <si>
    <t>Methane Content in Distribution Sector Natural Gas (%)</t>
  </si>
  <si>
    <t>Carbon Dioxide Content in Distribution Sector Natural Gas (%)</t>
  </si>
  <si>
    <t>Methane Mass per Therm of Natural Gas (MT CH4/therm)</t>
  </si>
  <si>
    <t>Carbon Dioxide Mass per Therm of Natural Gas (MT CO2/therm)</t>
  </si>
  <si>
    <t>Calculated</t>
  </si>
  <si>
    <t>Density of Natural Gas at Standard Temperature and Pressure (kg gas/m3 gas)</t>
  </si>
  <si>
    <t>Volume of Natural Gas per Heat Energy (m3 gas /therm gas)</t>
  </si>
  <si>
    <t>Mass of Natural Gas per Therm of Natural Gas (kg gas/therm gas)</t>
  </si>
  <si>
    <t>Mass of Natural Gas per Therm of Natural Gas (MT gas/therm gas)</t>
  </si>
  <si>
    <t>PlugInsights Source</t>
  </si>
  <si>
    <t>All Vehicles</t>
  </si>
  <si>
    <t>nodata</t>
  </si>
  <si>
    <t>GHG Protocol Calculation Tool for Direct Emissions</t>
  </si>
  <si>
    <t>MT CO2/Therm</t>
  </si>
  <si>
    <t>Fugitive Natural Gas Emission Factor (MT CH4/therm)</t>
  </si>
  <si>
    <t>Fugitive Natural Gas Emission Factor (MT CO2/therm)</t>
  </si>
  <si>
    <t>Emissions (MT CO2)</t>
  </si>
  <si>
    <t>Natural Gas Emissions (MT CO2)</t>
  </si>
  <si>
    <t>Emissions (MT N2O)</t>
  </si>
  <si>
    <t>MT CH4/Unit</t>
  </si>
  <si>
    <t>Gallon</t>
  </si>
  <si>
    <t>SCF</t>
  </si>
  <si>
    <t>Unit</t>
  </si>
  <si>
    <t>MT CO2/Unit</t>
  </si>
  <si>
    <t>MT N2O/Unit</t>
  </si>
  <si>
    <t>kg CO2/MMBTU</t>
  </si>
  <si>
    <t>Gram (g)</t>
  </si>
  <si>
    <t xml:space="preserve">All N2O Incinerated Waste Emissions: </t>
  </si>
  <si>
    <t xml:space="preserve">All CH4 Incinerated Waste Emissions: </t>
  </si>
  <si>
    <t xml:space="preserve">All CO2  Incinerated Waste Emissions: </t>
  </si>
  <si>
    <t>CO2 Emissions (MT CO2)</t>
  </si>
  <si>
    <t>Methane Emissions (MT CH4)</t>
  </si>
  <si>
    <t>Carbon Dioxide Emissions (MT CO2)</t>
  </si>
  <si>
    <t>Nitrous Oxide Emissions (MT N2O)</t>
  </si>
  <si>
    <t>Table 1: Summary of Waste Activity Data &amp; Emissions by Subsector</t>
  </si>
  <si>
    <r>
      <t>Wastewater Treatment and Discharge</t>
    </r>
    <r>
      <rPr>
        <b/>
        <sz val="12"/>
        <rFont val="Arial"/>
        <family val="2"/>
      </rPr>
      <t>*</t>
    </r>
  </si>
  <si>
    <t>Carbon Dioxide Equivalent Emissions (MT CO2e)</t>
  </si>
  <si>
    <t>All Sectors &amp; Subsectors:</t>
  </si>
  <si>
    <t>All Buildings</t>
  </si>
  <si>
    <t xml:space="preserve"> Res. Electricity</t>
  </si>
  <si>
    <t xml:space="preserve"> Res. Natural Gas</t>
  </si>
  <si>
    <t xml:space="preserve"> Res. Fuel Oil</t>
  </si>
  <si>
    <t xml:space="preserve"> Comm. &amp; Man. Electricity</t>
  </si>
  <si>
    <t xml:space="preserve"> Comm. &amp; Man. Natural Gas</t>
  </si>
  <si>
    <t xml:space="preserve"> Comm. &amp; Man. Fuel Oil</t>
  </si>
  <si>
    <r>
      <t xml:space="preserve">Energy Industries </t>
    </r>
    <r>
      <rPr>
        <b/>
        <sz val="12"/>
        <rFont val="Arial"/>
        <family val="2"/>
      </rPr>
      <t>*</t>
    </r>
  </si>
  <si>
    <t>Natural Gas CH4 Emissions
 (MT CH4)</t>
  </si>
  <si>
    <t>Natural Gas CO2
(MT CO2)</t>
  </si>
  <si>
    <t>Electricity Consumption CO2 Emissions (MT CO2)</t>
  </si>
  <si>
    <t>Electricity Consumption CH4 Emissions
 (MT CH4)</t>
  </si>
  <si>
    <t>Electricity Consumption N2O Emissions (MT N2O)</t>
  </si>
  <si>
    <t>Electricity T&amp;D Losses CH4 Emissions (MT CH4)</t>
  </si>
  <si>
    <t>Electricity T&amp;D Losses CO2 Emissions (MT C02)</t>
  </si>
  <si>
    <t>Electricity T&amp;D Losses N2O Emissions (MT N2O)</t>
  </si>
  <si>
    <t>Fuel Oil  CO2 Emissions 
(MT CO2)</t>
  </si>
  <si>
    <t>Fuel Oil CH4 Emissions 
(MT CH4)</t>
  </si>
  <si>
    <t>Fuel Oil N2O Emissions 
(MT N2O)</t>
  </si>
  <si>
    <t>Off-road CH4 Emissions-Various Fuels
(MT CH4)</t>
  </si>
  <si>
    <t>Off-road CO2 Emissions-Various Fuels 
(MT CO2)</t>
  </si>
  <si>
    <t>Diesel CH4 Emissions 
(MT CH4)</t>
  </si>
  <si>
    <t>Diesel CO2 Emissions 
(MT CO2)</t>
  </si>
  <si>
    <t>Total CH4 Emissions 
(MT CH4)</t>
  </si>
  <si>
    <t>Total CO2 Emissions 
(MT CO2)</t>
  </si>
  <si>
    <t>Total N2O Emissions 
(MT N2O)</t>
  </si>
  <si>
    <t xml:space="preserve">Public Assembly </t>
  </si>
  <si>
    <t xml:space="preserve">Religious Worship </t>
  </si>
  <si>
    <t>Vehicle Type</t>
  </si>
  <si>
    <t>CH4 Emissions (kg)</t>
  </si>
  <si>
    <t>Electricity CH4 Emissions (MT CH4)</t>
  </si>
  <si>
    <t>Electricity  CO2 Emissions (MT CO2)</t>
  </si>
  <si>
    <t>Electricity N2O Emissions (MT N2O)</t>
  </si>
  <si>
    <t>Fuel Oil CH4 Emissions (MT CH4)</t>
  </si>
  <si>
    <t>Fuel Oil CO2 Emissions (MT CO2)</t>
  </si>
  <si>
    <t>Fuel Oil N2O Emissions (MT N2O)</t>
  </si>
  <si>
    <t>Electricity T&amp;D CH4 Emissions (MT CH4)</t>
  </si>
  <si>
    <t>Electricity T&amp;D CO2 Emissions (MT CO2)</t>
  </si>
  <si>
    <t>Electricity T&amp;D N2O Emissions (MT N2O)</t>
  </si>
  <si>
    <t>Total Nat. Gas Distribution Losses (Therms)</t>
  </si>
  <si>
    <t>Natural Gas Distribution Losses CH4 Emissions 
(MT CH4)</t>
  </si>
  <si>
    <t>Natural Gas Distribution Losses CO2 Emissions 
(MT CO2)</t>
  </si>
  <si>
    <t>Off-road CO2 Emissions 
(MT CO2)</t>
  </si>
  <si>
    <t>Off-road CH4 Emissions 
(MT CH4)</t>
  </si>
  <si>
    <t>All Rail Transportation:</t>
  </si>
  <si>
    <t>All On-road Transportation:</t>
  </si>
  <si>
    <t>All Transportation:</t>
  </si>
  <si>
    <t>CH4 Emissions (MT CH4)</t>
  </si>
  <si>
    <t>N2O Emissions (MT N2O)</t>
  </si>
  <si>
    <t>Fuel Consumption (gal)</t>
  </si>
  <si>
    <t>Total N2O Emissions 
(MT N2O</t>
  </si>
  <si>
    <t>Fuel Consumption per Year (gal)</t>
  </si>
  <si>
    <t>CH4 Emissions 
(MT CH4)</t>
  </si>
  <si>
    <t>CO2 Emissions 
(MT CO2)</t>
  </si>
  <si>
    <t>N2O Emissions 
(MT N2O)</t>
  </si>
  <si>
    <t>Vehicle Efficiency (kWh/mile)</t>
  </si>
  <si>
    <t>Data Source</t>
  </si>
  <si>
    <t>Diesel  N2O Emissions 
(MT N2O)</t>
  </si>
  <si>
    <t>CNG CO2 Emissions (MT CO2)</t>
  </si>
  <si>
    <t>Electricity CO2 Emissions (MT CO2)</t>
  </si>
  <si>
    <t>Average of All Vehicles:</t>
  </si>
  <si>
    <t>All Waste:</t>
  </si>
  <si>
    <t>Mass of Waste 
(short tons)</t>
  </si>
  <si>
    <t>N2O Emissions (MT N2O):</t>
  </si>
  <si>
    <t>CO2e Emissions
(MT CO2e)</t>
  </si>
  <si>
    <t>Electricity (Including T&amp;D)</t>
  </si>
  <si>
    <t>Average Fuel Efficiency (MPG)</t>
  </si>
  <si>
    <t>Average Fuel Efficiency (kWh/mile)</t>
  </si>
  <si>
    <t>CO2e Emissions / Gallon
(MT CO2e / Gallon)</t>
  </si>
  <si>
    <t>CO2e Emissions / kWh
(MT CO2e / kWh)</t>
  </si>
  <si>
    <t>IPCC AR5</t>
  </si>
  <si>
    <t>Percent of Collected Waste Incinerated</t>
  </si>
  <si>
    <t>Table 2: Waste Incineration by Collection Type</t>
  </si>
  <si>
    <t>Table 3: Non-biogenic CO2 Emissions From Waste Incineration (GPC Equation 8.6)</t>
  </si>
  <si>
    <t>Table 4: CH4 Emissions From Waste Incineration (GPC Equation 8.7)</t>
  </si>
  <si>
    <t>Table 5: N2O Emissions From Waste Incineration (GPC Equation 8.8)</t>
  </si>
  <si>
    <t xml:space="preserve">In accordance with Equation 8.4: 
1) A value of 1.00 was input for Methane Correction Factor (MCF) since landfills waste is sent to are actively managed.
2) A default value of 0.6 was input for Fraction of Degradable Organic Carbon Degraded (DOCf).
3) A default value 0.5 was input for Fraction of Methane in Landfill Gas (F). 
4) The default fraction of 16/12 was input for Stoichiometric Ratio Between Methane and Carbon. </t>
  </si>
  <si>
    <t>Passenger and Commercial Vehicles</t>
  </si>
  <si>
    <t>Percent of Electricity Consumption Allocated to "Commercial" Subsector</t>
  </si>
  <si>
    <t>IOU Residential</t>
  </si>
  <si>
    <t>CCA Residential</t>
  </si>
  <si>
    <t>Rate Option</t>
  </si>
  <si>
    <t>% of Class I Voluntary RECs</t>
  </si>
  <si>
    <t>% Of Sales Reported to MA DEP as "Non-emitting MWh"</t>
  </si>
  <si>
    <t>Include this Rate in Calculations?</t>
  </si>
  <si>
    <t>Yes</t>
  </si>
  <si>
    <t>No</t>
  </si>
  <si>
    <t>MA DEP Source</t>
  </si>
  <si>
    <t>Base Assumption % Of Sales Reported to MA DEP as "Non-emitting MWh"</t>
  </si>
  <si>
    <t>CO2</t>
  </si>
  <si>
    <t>CH4</t>
  </si>
  <si>
    <t>N2O</t>
  </si>
  <si>
    <t>2017 Non-Biogenic Retail Level Electricity Emission Factor (lbs CO2e/MWh)</t>
  </si>
  <si>
    <t>DEP Generic "Massachusetts-based" CO2 Electricity Emission Factor (lbs CO2/MWh)</t>
  </si>
  <si>
    <t>DEP Generic "Massachusetts-based" CH4 Electricity Emission Factor (lbs CO2/MWh)</t>
  </si>
  <si>
    <t>DEP Generic "Massachusetts-based" CH4 Electricity Emission Factor (lbs N2O/MWh)</t>
  </si>
  <si>
    <t>Combined % of Sales from "Non-emitting MWh"</t>
  </si>
  <si>
    <t>CCA Rate Option 1</t>
  </si>
  <si>
    <t>CCA Rate Option 2</t>
  </si>
  <si>
    <t>CCA Rate Option 3</t>
  </si>
  <si>
    <t>CCA Rate Option 4</t>
  </si>
  <si>
    <t>NGRID</t>
  </si>
  <si>
    <t>Ashburnham Muni. Light Dept.</t>
  </si>
  <si>
    <t>Belmont Municipal Light Department</t>
  </si>
  <si>
    <t>Boylston Municipal Light Dept.</t>
  </si>
  <si>
    <t>Braintree Electric Light Dept.</t>
  </si>
  <si>
    <t>Chester Municipal Electric Light Dept.</t>
  </si>
  <si>
    <t>Chicopee Electric Light Dept.</t>
  </si>
  <si>
    <t>Concord Municipal Light Plant</t>
  </si>
  <si>
    <t>Danvers Electric Division</t>
  </si>
  <si>
    <t>Georgetown Municipal Light Department</t>
  </si>
  <si>
    <t>Groton Electric Light Dept.</t>
  </si>
  <si>
    <t>Groveland Municipal Light Dept.</t>
  </si>
  <si>
    <t>Hingham Municipal Lighting Plant</t>
  </si>
  <si>
    <t>Holden Municipal Light Dept.</t>
  </si>
  <si>
    <t>Holyoke Gas &amp; Electric Dept.</t>
  </si>
  <si>
    <t>Hudson Light &amp; Power Dept.</t>
  </si>
  <si>
    <t>Ipswich Municipal Light Department</t>
  </si>
  <si>
    <t>Littleton Electric Light &amp; Water</t>
  </si>
  <si>
    <t>Mansfield Municipal Electric Dept.</t>
  </si>
  <si>
    <t>Marblehead Municipal Light Dept.</t>
  </si>
  <si>
    <t>Merrimac Municipal Light &amp; Water Dept.</t>
  </si>
  <si>
    <t>Middleborough Gas &amp; Electric Dept.</t>
  </si>
  <si>
    <t>Middleton Municipal Electric Dept.</t>
  </si>
  <si>
    <t>North Attleboro Electric Dept.</t>
  </si>
  <si>
    <t>Norwood Municipal Light Dept.</t>
  </si>
  <si>
    <t>Paxton Municipal Light Dept.</t>
  </si>
  <si>
    <t>Peabody Municipal Light Plant</t>
  </si>
  <si>
    <t>Princeton Municipal Light Dept.</t>
  </si>
  <si>
    <t>Rowley Municipal Lighting Plant</t>
  </si>
  <si>
    <t>Russell Municipal Light Department</t>
  </si>
  <si>
    <t>Shrewsbury Electric &amp; Cable Ops.</t>
  </si>
  <si>
    <t>South Hadley Electric Light Dept.</t>
  </si>
  <si>
    <t>Sterling Municipal Light Dept.</t>
  </si>
  <si>
    <t>Templeton Municipal Light &amp; Water</t>
  </si>
  <si>
    <t>Wakefield Municipal Gas &amp; Light Dept.</t>
  </si>
  <si>
    <t>Wellesley Municipal Light Plant</t>
  </si>
  <si>
    <t>West Boylston Municipal Lighting Plant</t>
  </si>
  <si>
    <t>Westfield Gas &amp; Electric</t>
  </si>
  <si>
    <t>Municipal Utility</t>
  </si>
  <si>
    <t>Investor-owned Utility</t>
  </si>
  <si>
    <t>CO2e</t>
  </si>
  <si>
    <t>Greenhouse Gas</t>
  </si>
  <si>
    <t>Muni Residential</t>
  </si>
  <si>
    <t>Selected Investor-owned Utility</t>
  </si>
  <si>
    <t>Selected Municipal Utility</t>
  </si>
  <si>
    <t>Emissions Rate (MT CH4/kWh)</t>
  </si>
  <si>
    <t>Emissions Rate (MT CO2/kWh)</t>
  </si>
  <si>
    <t>Emissions Rate (MT N2O/kWh)</t>
  </si>
  <si>
    <t>IOU Non-Residential</t>
  </si>
  <si>
    <t>CCA Non-Residential</t>
  </si>
  <si>
    <t>Muni Non-Residential</t>
  </si>
  <si>
    <t>Single-Family- Detached</t>
  </si>
  <si>
    <t>Single-Family- Attached</t>
  </si>
  <si>
    <t>Multi-Family, 2-4 Units</t>
  </si>
  <si>
    <t>Multi-Family, 5+ Units</t>
  </si>
  <si>
    <t>Adjustment Ratio</t>
  </si>
  <si>
    <t>Mobile Homes</t>
  </si>
  <si>
    <t>EIA Table CE2.1</t>
  </si>
  <si>
    <t>U.S. Average Site Energy Consumption of Fuel Oil (Gallons/Year)</t>
  </si>
  <si>
    <t>U.S. Percent of Total Residential Building Stock (%)</t>
  </si>
  <si>
    <t>Percent of Total Housing Units in Massachusetts</t>
  </si>
  <si>
    <t>Millions Housing Units in MA</t>
  </si>
  <si>
    <t xml:space="preserve">Data on Massachusetts number of housing units by building type is from EIA Table HC2.8  Structural and Geographic Characteristics of Homes in Northeast Region, Divisions, and States, 2009. More current Massachusetts-specific data was not available through EIA. </t>
  </si>
  <si>
    <t>EIA Table CE2.2</t>
  </si>
  <si>
    <t>EIA Table HC2.8</t>
  </si>
  <si>
    <t>Percent of Homes in Community Using Fuel Oil as Heating Fuel (%)</t>
  </si>
  <si>
    <t>American Fact Finder</t>
  </si>
  <si>
    <t xml:space="preserve">Data on the number of homes by residential building type in a community is from the 2017 American Community Survey "Selected Housing Characteristics" table. Data is under subject "Units In Structure". 
</t>
  </si>
  <si>
    <t xml:space="preserve">Data on the percent of homes in a community using fuel oil as a heating fuel is from the 2017 American Community Survey "Physical Housing Characteristics for Occupied Housing Units" table. Data is under subject "House Heating Fuel". 
</t>
  </si>
  <si>
    <t xml:space="preserve">Food Sales </t>
  </si>
  <si>
    <t xml:space="preserve">Food Service </t>
  </si>
  <si>
    <t xml:space="preserve">Health Care Inpatient </t>
  </si>
  <si>
    <t>Health Care Outpatient</t>
  </si>
  <si>
    <t xml:space="preserve">Mercantile Retail (other than mall) </t>
  </si>
  <si>
    <t xml:space="preserve">Public Order And Safety </t>
  </si>
  <si>
    <t xml:space="preserve">Warehouse And Storage </t>
  </si>
  <si>
    <t>Average Monthly Employment</t>
  </si>
  <si>
    <t>Retail (non-mall)</t>
  </si>
  <si>
    <t>Food Sales</t>
  </si>
  <si>
    <t>Retail (mall)</t>
  </si>
  <si>
    <t>Service</t>
  </si>
  <si>
    <t>Office</t>
  </si>
  <si>
    <t>Public Assembly</t>
  </si>
  <si>
    <t>Outpatient Health Care</t>
  </si>
  <si>
    <t>Lodging</t>
  </si>
  <si>
    <t>Food Service</t>
  </si>
  <si>
    <t>Religious Worship</t>
  </si>
  <si>
    <t>Furniture and Related Products</t>
  </si>
  <si>
    <t>Percent of Buildings in Community Using Fuel Oil as Heating Fuel (%)</t>
  </si>
  <si>
    <t>Primary Building Activity</t>
  </si>
  <si>
    <t>Fuel Oil Consumption Per Employer Establishment (Gallons/ Employer Establishment / Year)</t>
  </si>
  <si>
    <t>Fuel Oil Consumption Per Employee (Gallons/ Employee / Year)</t>
  </si>
  <si>
    <t>Percent Difference in Natural Gas Consumption Compared To Office Buildings (%)</t>
  </si>
  <si>
    <t>Annual Fuel Oil Consumption (Gallons/Year)</t>
  </si>
  <si>
    <t>EOLWD Source</t>
  </si>
  <si>
    <t>Inpatient Health Care</t>
  </si>
  <si>
    <t>Public Order/ Safety</t>
  </si>
  <si>
    <t>Warehouse/ Storage</t>
  </si>
  <si>
    <t>Other</t>
  </si>
  <si>
    <t>Beverage and Tobacco Products</t>
  </si>
  <si>
    <t>Textile Mills</t>
  </si>
  <si>
    <t>Textile Product Mills</t>
  </si>
  <si>
    <t>Apparel</t>
  </si>
  <si>
    <t>Leather and Allied Products</t>
  </si>
  <si>
    <t>Wood Products</t>
  </si>
  <si>
    <t>Petroleum and Coal Products</t>
  </si>
  <si>
    <t>Plastics and Rubber Products</t>
  </si>
  <si>
    <t>Nonmetallic Mineral Products</t>
  </si>
  <si>
    <t>Primary Metals</t>
  </si>
  <si>
    <t>Fabricated Metal Products</t>
  </si>
  <si>
    <t>Machinery</t>
  </si>
  <si>
    <t>Electrical Equip., Appliances, and Components</t>
  </si>
  <si>
    <t>Transportation Equipment</t>
  </si>
  <si>
    <t>Private Households</t>
  </si>
  <si>
    <t>Mercantile Enclosed and Strip Malls</t>
  </si>
  <si>
    <t>Natural Gas Consumption Per Building (Gallons/ Building / Year)</t>
  </si>
  <si>
    <t>Residential Total:</t>
  </si>
  <si>
    <t>Total Disposition (MWh)</t>
  </si>
  <si>
    <t>Total Disposition Excluding Direct Use (MWh)</t>
  </si>
  <si>
    <t>EIA Massachusetts Electricity Profile 2017</t>
  </si>
  <si>
    <t>Crop production</t>
  </si>
  <si>
    <t>Animal production and aquaculture</t>
  </si>
  <si>
    <t>Forestry and logging</t>
  </si>
  <si>
    <t>Fishing, hunting and trapping</t>
  </si>
  <si>
    <t>Agriculture and forestry support activities</t>
  </si>
  <si>
    <t>Mining, except oil and gas</t>
  </si>
  <si>
    <t>Support activities for mining</t>
  </si>
  <si>
    <t>Utilities</t>
  </si>
  <si>
    <t>Construction of buildings</t>
  </si>
  <si>
    <t>Heavy and civil engineering construction</t>
  </si>
  <si>
    <t>Specialty trade contractors</t>
  </si>
  <si>
    <t>Electronic markets and agents and brokers</t>
  </si>
  <si>
    <t>Pipeline transportation</t>
  </si>
  <si>
    <t>Energy Consumption Per Employee - Northeast (MMBTU/ employee/ year)</t>
  </si>
  <si>
    <t>Total Energy Consumption  - United States (Trillion BTU / year)</t>
  </si>
  <si>
    <t>Distillate Fuel Oil and Diesel Fuel Energy Consumption (Trillion Btu / year)</t>
  </si>
  <si>
    <t>Percent of Total Energy Consumption from Fuel Oil and Diesel Fuel (%)</t>
  </si>
  <si>
    <t>Distillate Fuel Oil Energy Consumption (Gallons / Year)</t>
  </si>
  <si>
    <t xml:space="preserve">Fuel oil consumption per employee by primary building activity is from U.S. Energy Information Administration (EIA) 2014 Manufacturing Energy Consumption Survey (MCES) Table 6.1: Consumption Ratios of Fuel. Data for the northeast region was use in most casts. For some primary building activities (including Textile Mills, Textile Product Mills, and Transportation Equipment) northeast data was not available and national data was used. 
 </t>
  </si>
  <si>
    <t xml:space="preserve">Total U.S. energy consumption by primary building activity is from U.S. Energy Information Administration (EIA) 2014 Manufacturing Energy Consumption Survey (MCES) Table 1.1: First Use of Energy for all Purposes (Fuel and Nonfuel). </t>
  </si>
  <si>
    <t xml:space="preserve">Total U.S. distillate fuel oil and diesel fuel energy consumption by primary building activity is from U.S. Energy Information Administration (EIA) 2014 Manufacturing Energy Consumption Survey (MCES) Table 5.4: End Uses of Fuel Consumption. Data on distillate fuel oil and diesel fuel was combined. This analysis assumes distillate fuel oil makes up 100% of this combined total. </t>
  </si>
  <si>
    <t>EIA Principal Business Activity</t>
  </si>
  <si>
    <t xml:space="preserve">Average Monthly Employment </t>
  </si>
  <si>
    <t>Number of Employer Establishments Within the Primary Building Activity</t>
  </si>
  <si>
    <t>Principal Building Activity</t>
  </si>
  <si>
    <t xml:space="preserve">Number of Employer Establishments </t>
  </si>
  <si>
    <t>Industrial Total:</t>
  </si>
  <si>
    <t>Residential</t>
  </si>
  <si>
    <t>Commercial &amp; Industrial</t>
  </si>
  <si>
    <t>Total</t>
  </si>
  <si>
    <t>Total CCA Residential</t>
  </si>
  <si>
    <t>Total CCA Commercial &amp; Industrial</t>
  </si>
  <si>
    <t>% of Total Residential CCA Electric Load Enrolled in Rate</t>
  </si>
  <si>
    <t>% of Total Non-Residential CCA Electric Load Enrolled in Rate</t>
  </si>
  <si>
    <t>Residential Weighted</t>
  </si>
  <si>
    <t>Non-Residential Weighted</t>
  </si>
  <si>
    <t xml:space="preserve"> Emissions Rate (MT CO2/kWh)</t>
  </si>
  <si>
    <t xml:space="preserve"> Emissions Rate (MT N2O/kWh)</t>
  </si>
  <si>
    <t>EV Adjustment</t>
  </si>
  <si>
    <t>Commercial &amp; Institutional Buildings &amp; Manufacturing Industries</t>
  </si>
  <si>
    <t xml:space="preserve">While "Commercial &amp; Institutional Buildings" and "Manufacturing Industries" are considered two distinct subsectors by the GPC, they were combined for this inventory. Electricity and natural gas consumption data provided by MassSave was grouped as "Commercial &amp; Industrial," thus making it impossible to separate consumption into the suggested GPC categories. </t>
  </si>
  <si>
    <t>Table 1. Community Electricity &amp; Natural Gas Consumption &amp; Emissions by Subsector</t>
  </si>
  <si>
    <t>Table 2. Fuel Oil Consumption &amp; Emissions by Subsector</t>
  </si>
  <si>
    <t>Table 3. Residential Fuel Oil Consumption &amp; Emissions</t>
  </si>
  <si>
    <t>EIA Table C34</t>
  </si>
  <si>
    <t>EIA Table B22</t>
  </si>
  <si>
    <t>EIA Table 6.1</t>
  </si>
  <si>
    <t>EIA Table 1.1</t>
  </si>
  <si>
    <t>EIA Table 5.4</t>
  </si>
  <si>
    <t xml:space="preserve">Number of Employer Establishments Within the Primary Building Activity </t>
  </si>
  <si>
    <t>Average Monthly Employment Per Employer Establishment (Employees/ Employer Establishment)</t>
  </si>
  <si>
    <t>Table 4. Commercial Fuel Oil Consumption &amp; Emissions</t>
  </si>
  <si>
    <t>Table 5. Industrial Fuel Oil Consumption &amp; Emissions</t>
  </si>
  <si>
    <t>Table 6. Commercial &amp; Industrial Fuel Oil: Employment &amp; Establishments by NAICS Code and Business Activity VLookup</t>
  </si>
  <si>
    <t>Table 7. Massachusetts Electricity Transmission &amp; Distribution Grid Loss Factor</t>
  </si>
  <si>
    <t>Comm./Inst./Manu. Buildings</t>
  </si>
  <si>
    <t>Comm./Inst./Manu. Total</t>
  </si>
  <si>
    <t>Construction</t>
  </si>
  <si>
    <t>Electricity Consumption Allocated to Comm./Inst./Manu. Buildings Subsector per Year (kWh)</t>
  </si>
  <si>
    <t>Electricity Consumption Allocated to Residential Buildings Subsector per Year (kWh)</t>
  </si>
  <si>
    <t>Square Feet of Landscaped Area</t>
  </si>
  <si>
    <t>County Off-road Transportation Emissions</t>
  </si>
  <si>
    <t>Allocation of County-Level Emissions to City/Town</t>
  </si>
  <si>
    <t>City/Town Off-road Emissions</t>
  </si>
  <si>
    <t xml:space="preserve"> County Allocation Category Count</t>
  </si>
  <si>
    <t>City/Town Allocation Category Count</t>
  </si>
  <si>
    <t>Percent of County Allocation Category in City/Town</t>
  </si>
  <si>
    <t>Employment Description</t>
  </si>
  <si>
    <t>Total Employment</t>
  </si>
  <si>
    <t>Manufacturing Employment</t>
  </si>
  <si>
    <t>All Sectors Jobs Excl. Manufacturing</t>
  </si>
  <si>
    <t xml:space="preserve">County-level data on CO2 and CH4 emissions from industrial equipment, lawn and garden equipment and light commercial equipment is from the EPA Motor Vehicle Emission Simulator (MOVES Model). </t>
  </si>
  <si>
    <t>EPA Source</t>
  </si>
  <si>
    <t>Construction Equipment</t>
  </si>
  <si>
    <t>Square Feet of Construction</t>
  </si>
  <si>
    <t>Off-road Emissions Attributable to Construction Subsector:</t>
  </si>
  <si>
    <t>Manufacturing Industries</t>
  </si>
  <si>
    <t>Table 1: Summary of Off-road Emissions in County and City/Town by Equipment Type Using Allocation Methodology</t>
  </si>
  <si>
    <t>Norfolk</t>
  </si>
  <si>
    <t>Bellingham</t>
  </si>
  <si>
    <t>Essex</t>
  </si>
  <si>
    <t>Carver</t>
  </si>
  <si>
    <t>Boston</t>
  </si>
  <si>
    <t>Woburn</t>
  </si>
  <si>
    <t>Wilmington</t>
  </si>
  <si>
    <t>Middleborough</t>
  </si>
  <si>
    <t>Hudson</t>
  </si>
  <si>
    <t>Andover</t>
  </si>
  <si>
    <t>Peabody</t>
  </si>
  <si>
    <t>Lynn</t>
  </si>
  <si>
    <t>Wellesley</t>
  </si>
  <si>
    <t>Everett</t>
  </si>
  <si>
    <t>Weymouth</t>
  </si>
  <si>
    <t>Lowell</t>
  </si>
  <si>
    <t>Braintree</t>
  </si>
  <si>
    <t>Medway</t>
  </si>
  <si>
    <t>Rochester</t>
  </si>
  <si>
    <t>Haverhill</t>
  </si>
  <si>
    <t>North Andover</t>
  </si>
  <si>
    <t>Halifax</t>
  </si>
  <si>
    <t>Plymouth</t>
  </si>
  <si>
    <t>Plainville</t>
  </si>
  <si>
    <t>Not served by municipal utility</t>
  </si>
  <si>
    <t>Acton</t>
  </si>
  <si>
    <t>Arlington</t>
  </si>
  <si>
    <t>Ashland</t>
  </si>
  <si>
    <t>Bedford</t>
  </si>
  <si>
    <t>Belmont</t>
  </si>
  <si>
    <t>Beverly</t>
  </si>
  <si>
    <t>Bolton</t>
  </si>
  <si>
    <t>Boxborough</t>
  </si>
  <si>
    <t>Brookline</t>
  </si>
  <si>
    <t>Burlington</t>
  </si>
  <si>
    <t>Canton</t>
  </si>
  <si>
    <t>Carlisle</t>
  </si>
  <si>
    <t>Chelsea</t>
  </si>
  <si>
    <t>Cohasset</t>
  </si>
  <si>
    <t>Concord</t>
  </si>
  <si>
    <t>Danvers</t>
  </si>
  <si>
    <t>Dedham</t>
  </si>
  <si>
    <t>Dover</t>
  </si>
  <si>
    <t>Duxbury</t>
  </si>
  <si>
    <t>Foxborough</t>
  </si>
  <si>
    <t>Framingham</t>
  </si>
  <si>
    <t>Franklin</t>
  </si>
  <si>
    <t>Gloucester</t>
  </si>
  <si>
    <t>Hamilton</t>
  </si>
  <si>
    <t>Hanover</t>
  </si>
  <si>
    <t>Hingham</t>
  </si>
  <si>
    <t>Holbrook</t>
  </si>
  <si>
    <t>Holliston</t>
  </si>
  <si>
    <t>Hopkinton</t>
  </si>
  <si>
    <t>Hull</t>
  </si>
  <si>
    <t>Ipswich</t>
  </si>
  <si>
    <t>Lexington</t>
  </si>
  <si>
    <t>Lincoln</t>
  </si>
  <si>
    <t>Littleton</t>
  </si>
  <si>
    <t>Lynnfield</t>
  </si>
  <si>
    <t>Malden</t>
  </si>
  <si>
    <t>Manchester</t>
  </si>
  <si>
    <t>Marblehead</t>
  </si>
  <si>
    <t>Marlborough</t>
  </si>
  <si>
    <t>Marshfield</t>
  </si>
  <si>
    <t>Maynard</t>
  </si>
  <si>
    <t>Medfield</t>
  </si>
  <si>
    <t>Medford</t>
  </si>
  <si>
    <t>Melrose</t>
  </si>
  <si>
    <t>Middleton</t>
  </si>
  <si>
    <t>Milford</t>
  </si>
  <si>
    <t>Millis</t>
  </si>
  <si>
    <t>Milton</t>
  </si>
  <si>
    <t>Nahant</t>
  </si>
  <si>
    <t>Natick</t>
  </si>
  <si>
    <t>Needham</t>
  </si>
  <si>
    <t>Newton</t>
  </si>
  <si>
    <t>North Reading</t>
  </si>
  <si>
    <t>Norwell</t>
  </si>
  <si>
    <t>Norwood</t>
  </si>
  <si>
    <t>Pembroke</t>
  </si>
  <si>
    <t>Quincy</t>
  </si>
  <si>
    <t>Randolph</t>
  </si>
  <si>
    <t>Reading</t>
  </si>
  <si>
    <t>Revere</t>
  </si>
  <si>
    <t>Rockland</t>
  </si>
  <si>
    <t>Rockport</t>
  </si>
  <si>
    <t>Salem</t>
  </si>
  <si>
    <t>Scituate</t>
  </si>
  <si>
    <t>Sharon</t>
  </si>
  <si>
    <t>Sherborn</t>
  </si>
  <si>
    <t>Somerville</t>
  </si>
  <si>
    <t>Southborough</t>
  </si>
  <si>
    <t>Stoneham</t>
  </si>
  <si>
    <t>Stoughton</t>
  </si>
  <si>
    <t>Stow</t>
  </si>
  <si>
    <t>Sudbury</t>
  </si>
  <si>
    <t>Swampscott</t>
  </si>
  <si>
    <t>Topsfield</t>
  </si>
  <si>
    <t>Wakefield</t>
  </si>
  <si>
    <t>Walpole</t>
  </si>
  <si>
    <t>Waltham</t>
  </si>
  <si>
    <t>Watertown</t>
  </si>
  <si>
    <t>Wayland</t>
  </si>
  <si>
    <t>Wenham</t>
  </si>
  <si>
    <t>Weston</t>
  </si>
  <si>
    <t>Westwood</t>
  </si>
  <si>
    <t>Winchester</t>
  </si>
  <si>
    <t>Wrentham</t>
  </si>
  <si>
    <t>Dighton</t>
  </si>
  <si>
    <t>Charlton</t>
  </si>
  <si>
    <t>Agawam</t>
  </si>
  <si>
    <t>West Springfield</t>
  </si>
  <si>
    <t>Mendon</t>
  </si>
  <si>
    <t>Adams</t>
  </si>
  <si>
    <t>Amherst</t>
  </si>
  <si>
    <t>Blackstone</t>
  </si>
  <si>
    <t>Dartmouth</t>
  </si>
  <si>
    <t>Erving</t>
  </si>
  <si>
    <t>Fitchburg</t>
  </si>
  <si>
    <t>Lee</t>
  </si>
  <si>
    <t>Ludlow</t>
  </si>
  <si>
    <t>Millbury</t>
  </si>
  <si>
    <t>Pittsfield</t>
  </si>
  <si>
    <t>Sandwich</t>
  </si>
  <si>
    <t>Somerset</t>
  </si>
  <si>
    <t>Springfield</t>
  </si>
  <si>
    <t>Taunton</t>
  </si>
  <si>
    <t>Worcester</t>
  </si>
  <si>
    <t>Abington</t>
  </si>
  <si>
    <t>Amesbury</t>
  </si>
  <si>
    <t>Attleboro</t>
  </si>
  <si>
    <t>Avon</t>
  </si>
  <si>
    <t>Ayer</t>
  </si>
  <si>
    <t>Berlin</t>
  </si>
  <si>
    <t>Billerica</t>
  </si>
  <si>
    <t>Boxford</t>
  </si>
  <si>
    <t>Bridgewater</t>
  </si>
  <si>
    <t>Brockton</t>
  </si>
  <si>
    <t>Chelmsford</t>
  </si>
  <si>
    <t>Clinton</t>
  </si>
  <si>
    <t>Dracut</t>
  </si>
  <si>
    <t>Dunstable</t>
  </si>
  <si>
    <t>East Bridgewater</t>
  </si>
  <si>
    <t>Easton</t>
  </si>
  <si>
    <t>Georgetown</t>
  </si>
  <si>
    <t>Groton</t>
  </si>
  <si>
    <t>Groveland</t>
  </si>
  <si>
    <t>Hanson</t>
  </si>
  <si>
    <t>Harvard</t>
  </si>
  <si>
    <t>Hopedale</t>
  </si>
  <si>
    <t>Kingston</t>
  </si>
  <si>
    <t>Lakeville</t>
  </si>
  <si>
    <t>Lancaster</t>
  </si>
  <si>
    <t>Lawrence</t>
  </si>
  <si>
    <t>Mansfield</t>
  </si>
  <si>
    <t>Merrimac</t>
  </si>
  <si>
    <t>Methuen</t>
  </si>
  <si>
    <t>Millville</t>
  </si>
  <si>
    <t>Newbury</t>
  </si>
  <si>
    <t>Newburyport</t>
  </si>
  <si>
    <t>North Attleborough</t>
  </si>
  <si>
    <t>Northborough</t>
  </si>
  <si>
    <t>Northbridge</t>
  </si>
  <si>
    <t>Norton</t>
  </si>
  <si>
    <t>Pepperell</t>
  </si>
  <si>
    <t>Plympton</t>
  </si>
  <si>
    <t>Raynham</t>
  </si>
  <si>
    <t>Rowley</t>
  </si>
  <si>
    <t>Salisbury</t>
  </si>
  <si>
    <t>Shirley</t>
  </si>
  <si>
    <t>Tewksbury</t>
  </si>
  <si>
    <t>Tyngsborough</t>
  </si>
  <si>
    <t>Upton</t>
  </si>
  <si>
    <t>Uxbridge</t>
  </si>
  <si>
    <t>West Bridgewater</t>
  </si>
  <si>
    <t>West Newbury</t>
  </si>
  <si>
    <t>Westborough</t>
  </si>
  <si>
    <t>Westford</t>
  </si>
  <si>
    <t>Whitman</t>
  </si>
  <si>
    <t>Acushnet</t>
  </si>
  <si>
    <t>Alford</t>
  </si>
  <si>
    <t>Ashburnham</t>
  </si>
  <si>
    <t>Ashby</t>
  </si>
  <si>
    <t>Ashfield</t>
  </si>
  <si>
    <t>Athol</t>
  </si>
  <si>
    <t>Auburn</t>
  </si>
  <si>
    <t>Barnstable</t>
  </si>
  <si>
    <t>Barre</t>
  </si>
  <si>
    <t>Becket</t>
  </si>
  <si>
    <t>Belchertown</t>
  </si>
  <si>
    <t>Berkley</t>
  </si>
  <si>
    <t>Bernardston</t>
  </si>
  <si>
    <t>Blandford</t>
  </si>
  <si>
    <t>Bourne</t>
  </si>
  <si>
    <t>Boylston</t>
  </si>
  <si>
    <t>Brewster</t>
  </si>
  <si>
    <t>Brimfield</t>
  </si>
  <si>
    <t>Brookfield</t>
  </si>
  <si>
    <t>Buckland</t>
  </si>
  <si>
    <t>Charlemont</t>
  </si>
  <si>
    <t>Chatham</t>
  </si>
  <si>
    <t>Cheshire</t>
  </si>
  <si>
    <t>Chester</t>
  </si>
  <si>
    <t>Chesterfield</t>
  </si>
  <si>
    <t>Chicopee</t>
  </si>
  <si>
    <t>Chilmark</t>
  </si>
  <si>
    <t>Clarksburg</t>
  </si>
  <si>
    <t>Colrain</t>
  </si>
  <si>
    <t>Conway</t>
  </si>
  <si>
    <t>Cummington</t>
  </si>
  <si>
    <t>Dalton</t>
  </si>
  <si>
    <t>Warwick</t>
  </si>
  <si>
    <t>Deerfield</t>
  </si>
  <si>
    <t>Dennis</t>
  </si>
  <si>
    <t>Douglas</t>
  </si>
  <si>
    <t>Dudley</t>
  </si>
  <si>
    <t>East Brookfield</t>
  </si>
  <si>
    <t>East Longmeadow</t>
  </si>
  <si>
    <t>Eastham</t>
  </si>
  <si>
    <t>Easthampton</t>
  </si>
  <si>
    <t>Edgartown</t>
  </si>
  <si>
    <t>Egremont</t>
  </si>
  <si>
    <t>Fairhaven</t>
  </si>
  <si>
    <t>Fall River</t>
  </si>
  <si>
    <t>Falmouth</t>
  </si>
  <si>
    <t>Florida</t>
  </si>
  <si>
    <t>Freetown</t>
  </si>
  <si>
    <t>Gardner</t>
  </si>
  <si>
    <t>Aquinnah</t>
  </si>
  <si>
    <t>Gill</t>
  </si>
  <si>
    <t>Goshen</t>
  </si>
  <si>
    <t>Gosnold</t>
  </si>
  <si>
    <t>Grafton</t>
  </si>
  <si>
    <t>Granby</t>
  </si>
  <si>
    <t>Granville</t>
  </si>
  <si>
    <t>Great Barrington</t>
  </si>
  <si>
    <t>Greenfield</t>
  </si>
  <si>
    <t>Hadley</t>
  </si>
  <si>
    <t>Hampden</t>
  </si>
  <si>
    <t>Hancock</t>
  </si>
  <si>
    <t>Hardwick</t>
  </si>
  <si>
    <t>Harwich</t>
  </si>
  <si>
    <t>Hatfield</t>
  </si>
  <si>
    <t>Hawley</t>
  </si>
  <si>
    <t>Heath</t>
  </si>
  <si>
    <t>Hinsdale</t>
  </si>
  <si>
    <t>Holden</t>
  </si>
  <si>
    <t>Holland</t>
  </si>
  <si>
    <t>Holyoke</t>
  </si>
  <si>
    <t>Hubbardston</t>
  </si>
  <si>
    <t>Huntington</t>
  </si>
  <si>
    <t>Lanesborough</t>
  </si>
  <si>
    <t>Leicester</t>
  </si>
  <si>
    <t>Lenox</t>
  </si>
  <si>
    <t>Leominster</t>
  </si>
  <si>
    <t>Leverett</t>
  </si>
  <si>
    <t>Leyden</t>
  </si>
  <si>
    <t>Longmeadow</t>
  </si>
  <si>
    <t>Lunenburg</t>
  </si>
  <si>
    <t>Marion</t>
  </si>
  <si>
    <t>Mashpee</t>
  </si>
  <si>
    <t>Mattapoisett</t>
  </si>
  <si>
    <t>Middlefield</t>
  </si>
  <si>
    <t>Monroe</t>
  </si>
  <si>
    <t>Monson</t>
  </si>
  <si>
    <t>Montague</t>
  </si>
  <si>
    <t>Monterey</t>
  </si>
  <si>
    <t>Montgomery</t>
  </si>
  <si>
    <t>Mount Washington</t>
  </si>
  <si>
    <t>Nantucket</t>
  </si>
  <si>
    <t>New Ashford</t>
  </si>
  <si>
    <t>New Bedford</t>
  </si>
  <si>
    <t>New Braintree</t>
  </si>
  <si>
    <t>New Marlborough</t>
  </si>
  <si>
    <t>New Salem</t>
  </si>
  <si>
    <t>North Adams</t>
  </si>
  <si>
    <t>North Brookfield</t>
  </si>
  <si>
    <t>Northampton</t>
  </si>
  <si>
    <t>Northfield</t>
  </si>
  <si>
    <t>Oak Bluffs</t>
  </si>
  <si>
    <t>Oakham</t>
  </si>
  <si>
    <t>Orange</t>
  </si>
  <si>
    <t>Orleans</t>
  </si>
  <si>
    <t>Otis</t>
  </si>
  <si>
    <t>Oxford</t>
  </si>
  <si>
    <t>Palmer</t>
  </si>
  <si>
    <t>Paxton</t>
  </si>
  <si>
    <t>Pelham</t>
  </si>
  <si>
    <t>Peru</t>
  </si>
  <si>
    <t>Petersham</t>
  </si>
  <si>
    <t>Phillipston</t>
  </si>
  <si>
    <t>Plainfield</t>
  </si>
  <si>
    <t>Princeton</t>
  </si>
  <si>
    <t>Provincetown</t>
  </si>
  <si>
    <t>Rehoboth</t>
  </si>
  <si>
    <t>Richmond</t>
  </si>
  <si>
    <t>Rowe</t>
  </si>
  <si>
    <t>Royalston</t>
  </si>
  <si>
    <t>Russell</t>
  </si>
  <si>
    <t>Rutland</t>
  </si>
  <si>
    <t>Sandisfield</t>
  </si>
  <si>
    <t>Savoy</t>
  </si>
  <si>
    <t>Seekonk</t>
  </si>
  <si>
    <t>Sheffield</t>
  </si>
  <si>
    <t>Shelburne</t>
  </si>
  <si>
    <t>Shrewsbury</t>
  </si>
  <si>
    <t>Shutesbury</t>
  </si>
  <si>
    <t>South Hadley</t>
  </si>
  <si>
    <t>Southampton</t>
  </si>
  <si>
    <t>Washington</t>
  </si>
  <si>
    <t>Southbridge</t>
  </si>
  <si>
    <t>Southwick</t>
  </si>
  <si>
    <t>Spencer</t>
  </si>
  <si>
    <t>Sterling</t>
  </si>
  <si>
    <t>Stockbridge</t>
  </si>
  <si>
    <t>Sturbridge</t>
  </si>
  <si>
    <t>Sunderland</t>
  </si>
  <si>
    <t>Sutton</t>
  </si>
  <si>
    <t>Swansea</t>
  </si>
  <si>
    <t>Templeton</t>
  </si>
  <si>
    <t>Tisbury</t>
  </si>
  <si>
    <t>Tolland</t>
  </si>
  <si>
    <t>Townsend</t>
  </si>
  <si>
    <t>Truro</t>
  </si>
  <si>
    <t>Tyringham</t>
  </si>
  <si>
    <t>Wales</t>
  </si>
  <si>
    <t>Ware</t>
  </si>
  <si>
    <t>Wareham</t>
  </si>
  <si>
    <t>Warren</t>
  </si>
  <si>
    <t>Webster</t>
  </si>
  <si>
    <t>Wellfleet</t>
  </si>
  <si>
    <t>Wendell</t>
  </si>
  <si>
    <t>West Boylston</t>
  </si>
  <si>
    <t>West Brookfield</t>
  </si>
  <si>
    <t>West Stockbridge</t>
  </si>
  <si>
    <t>West Tisbury</t>
  </si>
  <si>
    <t>Westfield</t>
  </si>
  <si>
    <t>Westhampton</t>
  </si>
  <si>
    <t>Westminster</t>
  </si>
  <si>
    <t>Westport</t>
  </si>
  <si>
    <t>Whately</t>
  </si>
  <si>
    <t>Wilbraham</t>
  </si>
  <si>
    <t>Williamsburg</t>
  </si>
  <si>
    <t>Williamstown</t>
  </si>
  <si>
    <t>Winchendon</t>
  </si>
  <si>
    <t>Windsor</t>
  </si>
  <si>
    <t>Worthington</t>
  </si>
  <si>
    <t>Yarmouth</t>
  </si>
  <si>
    <t>Table 2: Summary of Emissions from Energy Industries Subsector</t>
  </si>
  <si>
    <t>Emissions 
(MT CO2e)</t>
  </si>
  <si>
    <t>Vehicle Fuel</t>
  </si>
  <si>
    <t>Vehicles Registered in Town/City: All</t>
  </si>
  <si>
    <t xml:space="preserve">Chevrolet </t>
  </si>
  <si>
    <t>Bolt</t>
  </si>
  <si>
    <t>Prius Prime</t>
  </si>
  <si>
    <t>Tesla</t>
  </si>
  <si>
    <t>Model X</t>
  </si>
  <si>
    <t>Model 3</t>
  </si>
  <si>
    <t>Model S</t>
  </si>
  <si>
    <t>Portion of Total  MBTA Energy Use Attributable to Town/City</t>
  </si>
  <si>
    <r>
      <t>City/Town Frequency-weighted Route Distance (miles/year)</t>
    </r>
    <r>
      <rPr>
        <b/>
        <sz val="12"/>
        <color theme="0"/>
        <rFont val="Arial"/>
        <family val="2"/>
      </rPr>
      <t>*</t>
    </r>
  </si>
  <si>
    <t>Vehicle Fuel Type</t>
  </si>
  <si>
    <t>Allocating MBTA Fuel Use to City/Town</t>
  </si>
  <si>
    <t>City/Town Annual Diesel Consumption (gal/year)</t>
  </si>
  <si>
    <t>City/Town CNG Consumption (MMBTU/year)</t>
  </si>
  <si>
    <t>City/Town Electricity Consumption (kWh/year)**</t>
  </si>
  <si>
    <t>System Annual Electricity Consumption (kWh/year)</t>
  </si>
  <si>
    <t>Portion of Total  MBTA Energy Use Attributable to City/Town</t>
  </si>
  <si>
    <t>City/Town Annual Diesel Consumption (gallons/year)</t>
  </si>
  <si>
    <t>City/Town Annual Diesel Emissions (MT CH4)</t>
  </si>
  <si>
    <t>City/Town Annual Diesel Emissions (MT CO2</t>
  </si>
  <si>
    <t>City/Town Annual Diesel Emissions (MT N2O)</t>
  </si>
  <si>
    <t>City/Town Annual Electricity Emissions (MT CH4)</t>
  </si>
  <si>
    <t>City/Town Annual Electricity Emissions (MT CO2)</t>
  </si>
  <si>
    <t>City/Town Annual Electricity Emissions (MT N2O)</t>
  </si>
  <si>
    <t>Community Total</t>
  </si>
  <si>
    <t>MA DEP 2017 Solid Waste Update</t>
  </si>
  <si>
    <t>Landfill</t>
  </si>
  <si>
    <t>Percent of Waste</t>
  </si>
  <si>
    <t>Weighted Average</t>
  </si>
  <si>
    <t xml:space="preserve">Uncoated Corrugated Cardboard/Kraft Paper </t>
  </si>
  <si>
    <t xml:space="preserve">Waxed Cardboard </t>
  </si>
  <si>
    <t xml:space="preserve">High Grade Office Paper </t>
  </si>
  <si>
    <t xml:space="preserve">Magazines/Catalogs </t>
  </si>
  <si>
    <t xml:space="preserve">Newsprint </t>
  </si>
  <si>
    <t xml:space="preserve">Other Recyclable Paper </t>
  </si>
  <si>
    <t xml:space="preserve">Compostable Paper </t>
  </si>
  <si>
    <t xml:space="preserve">Remainder/Composite Paper </t>
  </si>
  <si>
    <t>Plastic</t>
  </si>
  <si>
    <t xml:space="preserve">PET Beverage Containers (non-MA deposit containers) </t>
  </si>
  <si>
    <t xml:space="preserve">Plastic MA Deposit Beverage Containers </t>
  </si>
  <si>
    <t xml:space="preserve">Plastic Containers #3-#7 (which originally contained non-hazardous material) </t>
  </si>
  <si>
    <t xml:space="preserve">Expanded Polystyrene Food Grade </t>
  </si>
  <si>
    <t>Expanded Polystyrene Non-food Grade</t>
  </si>
  <si>
    <t xml:space="preserve">Bulk Rigid Plastic Items </t>
  </si>
  <si>
    <t xml:space="preserve">Film (non-bag clean commercial and industrial packaging film) </t>
  </si>
  <si>
    <t xml:space="preserve">Grocery and other Merchandise Bags </t>
  </si>
  <si>
    <t xml:space="preserve">Other Film means plastic film  </t>
  </si>
  <si>
    <t xml:space="preserve">Remainder/Composite Plastic </t>
  </si>
  <si>
    <t>Metal</t>
  </si>
  <si>
    <t xml:space="preserve">Aluminum Beverage Containers (non-MA deposit containers) </t>
  </si>
  <si>
    <t xml:space="preserve">Aluminum MA Deposit Beverage Containers </t>
  </si>
  <si>
    <t xml:space="preserve">Tin/Steel Containers </t>
  </si>
  <si>
    <t>Other Aluminum</t>
  </si>
  <si>
    <t xml:space="preserve">Other Ferrous and non-ferrous </t>
  </si>
  <si>
    <t>White Goods</t>
  </si>
  <si>
    <t xml:space="preserve">Remainder/Composite Metal </t>
  </si>
  <si>
    <t>Glass</t>
  </si>
  <si>
    <t xml:space="preserve">Glass Beverage Containers (non-MA deposit containers) </t>
  </si>
  <si>
    <t xml:space="preserve">Other Glass Packaging Containers (non-MA deposit containers)  </t>
  </si>
  <si>
    <t xml:space="preserve">Glass MA Deposit Beverage Containers </t>
  </si>
  <si>
    <t>Remainder/Composite Glass</t>
  </si>
  <si>
    <t>Organic Materials</t>
  </si>
  <si>
    <t xml:space="preserve">Food Waste </t>
  </si>
  <si>
    <t xml:space="preserve">Branches and Stumps </t>
  </si>
  <si>
    <t xml:space="preserve">Manures </t>
  </si>
  <si>
    <t xml:space="preserve">Remainder/Composite Organic </t>
  </si>
  <si>
    <t>Construction and Demolition (in the MSW stream)</t>
  </si>
  <si>
    <t xml:space="preserve">Asphalt Pavement, Brick, and Concrete </t>
  </si>
  <si>
    <t>Aggregates, Stone, Rock</t>
  </si>
  <si>
    <t xml:space="preserve">Wood – Treated </t>
  </si>
  <si>
    <t xml:space="preserve">Wood – Untreated </t>
  </si>
  <si>
    <t xml:space="preserve">Asphalt Roofing </t>
  </si>
  <si>
    <t xml:space="preserve">Drywall/Gypsum Board </t>
  </si>
  <si>
    <t xml:space="preserve">Carpet and Carpet Padding </t>
  </si>
  <si>
    <t xml:space="preserve">Remainder/Composite Construction and Demolition </t>
  </si>
  <si>
    <t xml:space="preserve">Ballasts, CFLs, and Other Fluorescents </t>
  </si>
  <si>
    <t xml:space="preserve">Batteries – Lead Acid </t>
  </si>
  <si>
    <t xml:space="preserve">Batteries – Other </t>
  </si>
  <si>
    <t xml:space="preserve">Paint </t>
  </si>
  <si>
    <t xml:space="preserve">Bio-Hazardous </t>
  </si>
  <si>
    <t xml:space="preserve">Vehicle and Equipment Fluids </t>
  </si>
  <si>
    <t xml:space="preserve">Other Hazardous or Household Hazardous Waste </t>
  </si>
  <si>
    <t>Electronics</t>
  </si>
  <si>
    <t xml:space="preserve">Computer-related Electronics </t>
  </si>
  <si>
    <t>Other “brown goods”</t>
  </si>
  <si>
    <t xml:space="preserve">Televisions and Computer Monitors </t>
  </si>
  <si>
    <t>Other Materials</t>
  </si>
  <si>
    <t xml:space="preserve">Tires and other rubber </t>
  </si>
  <si>
    <t xml:space="preserve">Textiles </t>
  </si>
  <si>
    <t xml:space="preserve">Bulky Materials </t>
  </si>
  <si>
    <t>Mattresses</t>
  </si>
  <si>
    <t xml:space="preserve">Restaurant Fats, Oils and Grease </t>
  </si>
  <si>
    <t xml:space="preserve">Other Miscellaneous </t>
  </si>
  <si>
    <t>GPC Waste Category</t>
  </si>
  <si>
    <t>Table 7: Overall Waste Composition By Detailed Material Category Mapped to GPC Waste Categories</t>
  </si>
  <si>
    <t>CH4 Emissions Factor (g CH4 / kg waste)</t>
  </si>
  <si>
    <t>N2O Emissions Factor (g N2O / kg waste)</t>
  </si>
  <si>
    <t>Mass of Organic Waste Treated (kg/year)</t>
  </si>
  <si>
    <t>Compositing Facility</t>
  </si>
  <si>
    <t>CH4 Emissions Excluding Methane Capture
(MT CH4)</t>
  </si>
  <si>
    <t>Percent of CH4 Recovered (%)</t>
  </si>
  <si>
    <t>CH4 Emissions Including Methane Capture
(MT CH4)</t>
  </si>
  <si>
    <t>N2O Emissions
(MT N2O)</t>
  </si>
  <si>
    <t xml:space="preserve">In accordance with GPC Equation 8.5:
1) The default biological treatment emission factors from GPC Table 8.3 were used. "Wet waste" emission factors were used for both compositing and anaerobic digestion at biogas facilities. 
2) The estimated percent of CH4 recovered at compositing facilities and anerobic digestion facilities. This analysis assumes 0% methane recovery for compositing facilities and 100% methane recovery for anaerobic digestion facilities. </t>
  </si>
  <si>
    <t xml:space="preserve">In accordance with Equation 8.3:
1) The Fraction of Methane Recovered in Landfill was assumed to be 0 because it cannot be determined at this time which landfills each city/town sends waste to. 
2) An Oxidation Factor (OX) of 0.1 was selected because the landfills that most cities/towns send waste to in Massachusetts are managed. </t>
  </si>
  <si>
    <t>Waste Category/Sub-category</t>
  </si>
  <si>
    <t>Percent of Total City/Town Waste Disposed In-state</t>
  </si>
  <si>
    <t>Municipally Collected</t>
  </si>
  <si>
    <t>Private Hauler Collected</t>
  </si>
  <si>
    <t>Biological Treatment of Waste</t>
  </si>
  <si>
    <t>Table 3: Proportion of Massachusetts In-state Waste Disposed: Landfilled vs. Combusted by Waste Type for 2017</t>
  </si>
  <si>
    <t>Table 4: Weight of Waste Sent to Landfill by Collection Type and Waste Type</t>
  </si>
  <si>
    <t>Table 6: Waste Characterization Allocation by GPC Equation 8.1 Categories</t>
  </si>
  <si>
    <t>Est. Mass of Organics Sent to Compositing Facility (tons)</t>
  </si>
  <si>
    <t>Est. Mass of Organics Sent to Anaerobic Digester (tons)</t>
  </si>
  <si>
    <t>Percent of Organic Waste Sent to Compositing Facility</t>
  </si>
  <si>
    <t>Table 1. Biologically Treated Waste by Treatment Type</t>
  </si>
  <si>
    <t>N/A - We don't have curbside composting</t>
  </si>
  <si>
    <t>Composting Facility</t>
  </si>
  <si>
    <t>Anaerobic Digestion Facility</t>
  </si>
  <si>
    <t>Percent of Total Disposed Waste in Category</t>
  </si>
  <si>
    <t>Percent of Organic Waste Sent to Anaerobic Digestion Facility</t>
  </si>
  <si>
    <t xml:space="preserve">This table assumes default State-level percent of organic waste sent to compositing facility vs. anaerobic digestion facility unless local data is entered on the "Inputs" tab of this workbook. </t>
  </si>
  <si>
    <t>Final Destination of Collected Organic Material</t>
  </si>
  <si>
    <t>Final Destination of Collected Waste Material</t>
  </si>
  <si>
    <t>Energy Data</t>
  </si>
  <si>
    <t>Waste Data</t>
  </si>
  <si>
    <t>Residential:</t>
  </si>
  <si>
    <t>Commercial &amp; Industrial:</t>
  </si>
  <si>
    <t>Combined Total:</t>
  </si>
  <si>
    <t>Total Annual Electricity Consumption (MWh / Year)</t>
  </si>
  <si>
    <t>Annual Natural Gas Consumption (Therms / Year)</t>
  </si>
  <si>
    <t>Community Choice Electricity Consumption Data</t>
  </si>
  <si>
    <t>Include This Rate in Calculations?</t>
  </si>
  <si>
    <t>Electricity Rate</t>
  </si>
  <si>
    <t>Municipal Utility Electricity Consumption Data</t>
  </si>
  <si>
    <t>Total Annual Electricity Consumption (kWh / Year)</t>
  </si>
  <si>
    <t>Column A - NAICS</t>
  </si>
  <si>
    <t>Column C - No. of Establishments</t>
  </si>
  <si>
    <t>Column Q - Average Monthly Employment</t>
  </si>
  <si>
    <t>Number of Establishments and Monthly Employment by NAICS Code</t>
  </si>
  <si>
    <t>Transportation Data</t>
  </si>
  <si>
    <t>Commercial Vehicles w/ Assigned Fuel Type</t>
  </si>
  <si>
    <r>
      <rPr>
        <b/>
        <u/>
        <sz val="10"/>
        <rFont val="Arial"/>
        <family val="2"/>
      </rPr>
      <t>Mandatory Question Instructions:</t>
    </r>
    <r>
      <rPr>
        <sz val="10"/>
        <rFont val="Arial"/>
        <family val="2"/>
      </rPr>
      <t xml:space="preserve"> 
1) If your community has municipally-collected waste, determine the mass of waste collected by the municipal waste hauler. Enter the data into the appropriate cell in the below table. 
2) If your community has municipally-collected organics recycling, determine the mass of organic recycling collected by the municipal waste hauler. Enter the data into the appropriate cell in the below table. 
3) If your community has private hauler-collected waste, determine the mass of waste collected by the municipal waste hauler. Enter the data into the appropriate cell in the below table. This data is often very difficult to collect. If you are unable to collect an accurate estimate, skip this step. 
4) If your community has private hauler-collected organics recycling, determine the mass of organic recycling collected by the municipal waste hauler. Enter the data into the appropriate cell in the below table. This data is often very difficult to collect. If you are unable to collect an accurate estimate, skip this step. </t>
    </r>
  </si>
  <si>
    <t>Total CCA Residential, Commercial &amp; Industrial</t>
  </si>
  <si>
    <r>
      <rPr>
        <b/>
        <u/>
        <sz val="10"/>
        <rFont val="Arial"/>
        <family val="2"/>
      </rPr>
      <t>Optional Question Instructions</t>
    </r>
    <r>
      <rPr>
        <b/>
        <sz val="10"/>
        <rFont val="Arial"/>
        <family val="2"/>
      </rPr>
      <t xml:space="preserve">: </t>
    </r>
    <r>
      <rPr>
        <sz val="10"/>
        <rFont val="Arial"/>
        <family val="2"/>
      </rPr>
      <t xml:space="preserve">
1) </t>
    </r>
    <r>
      <rPr>
        <b/>
        <sz val="10"/>
        <rFont val="Arial"/>
        <family val="2"/>
      </rPr>
      <t xml:space="preserve">If you answered </t>
    </r>
    <r>
      <rPr>
        <b/>
        <u/>
        <sz val="10"/>
        <rFont val="Arial"/>
        <family val="2"/>
      </rPr>
      <t>"Yes"</t>
    </r>
    <r>
      <rPr>
        <sz val="10"/>
        <rFont val="Arial"/>
        <family val="2"/>
      </rPr>
      <t xml:space="preserve"> to previous question, complete below table.
2) </t>
    </r>
    <r>
      <rPr>
        <b/>
        <sz val="10"/>
        <rFont val="Arial"/>
        <family val="2"/>
      </rPr>
      <t xml:space="preserve">If you answered </t>
    </r>
    <r>
      <rPr>
        <b/>
        <u/>
        <sz val="10"/>
        <rFont val="Arial"/>
        <family val="2"/>
      </rPr>
      <t>"No"</t>
    </r>
    <r>
      <rPr>
        <sz val="10"/>
        <rFont val="Arial"/>
        <family val="2"/>
      </rPr>
      <t xml:space="preserve"> to the previous question, skip below table. 
</t>
    </r>
  </si>
  <si>
    <r>
      <rPr>
        <b/>
        <u/>
        <sz val="10"/>
        <rFont val="Arial"/>
        <family val="2"/>
      </rPr>
      <t>Optional Question Instructions</t>
    </r>
    <r>
      <rPr>
        <b/>
        <sz val="10"/>
        <rFont val="Arial"/>
        <family val="2"/>
      </rPr>
      <t xml:space="preserve">: </t>
    </r>
    <r>
      <rPr>
        <sz val="10"/>
        <rFont val="Arial"/>
        <family val="2"/>
      </rPr>
      <t xml:space="preserve">
1) </t>
    </r>
    <r>
      <rPr>
        <b/>
        <sz val="10"/>
        <rFont val="Arial"/>
        <family val="2"/>
      </rPr>
      <t xml:space="preserve">If you answered </t>
    </r>
    <r>
      <rPr>
        <b/>
        <u/>
        <sz val="10"/>
        <rFont val="Arial"/>
        <family val="2"/>
      </rPr>
      <t>"Yes"</t>
    </r>
    <r>
      <rPr>
        <b/>
        <sz val="10"/>
        <rFont val="Arial"/>
        <family val="2"/>
      </rPr>
      <t xml:space="preserve"> </t>
    </r>
    <r>
      <rPr>
        <sz val="10"/>
        <rFont val="Arial"/>
        <family val="2"/>
      </rPr>
      <t xml:space="preserve">to previous question, complete below table.
2) </t>
    </r>
    <r>
      <rPr>
        <b/>
        <sz val="10"/>
        <rFont val="Arial"/>
        <family val="2"/>
      </rPr>
      <t xml:space="preserve">If you answered </t>
    </r>
    <r>
      <rPr>
        <b/>
        <u/>
        <sz val="10"/>
        <rFont val="Arial"/>
        <family val="2"/>
      </rPr>
      <t>"No" or "N/A"</t>
    </r>
    <r>
      <rPr>
        <sz val="10"/>
        <rFont val="Arial"/>
        <family val="2"/>
      </rPr>
      <t xml:space="preserve"> to the previous question, skip below table. 
</t>
    </r>
  </si>
  <si>
    <r>
      <rPr>
        <b/>
        <u/>
        <sz val="10"/>
        <rFont val="Arial"/>
        <family val="2"/>
      </rPr>
      <t>Optional Question Instructions</t>
    </r>
    <r>
      <rPr>
        <b/>
        <sz val="10"/>
        <rFont val="Arial"/>
        <family val="2"/>
      </rPr>
      <t xml:space="preserve">: </t>
    </r>
    <r>
      <rPr>
        <sz val="10"/>
        <rFont val="Arial"/>
        <family val="2"/>
      </rPr>
      <t xml:space="preserve">
1) </t>
    </r>
    <r>
      <rPr>
        <b/>
        <sz val="10"/>
        <rFont val="Arial"/>
        <family val="2"/>
      </rPr>
      <t xml:space="preserve">If you answered </t>
    </r>
    <r>
      <rPr>
        <b/>
        <u/>
        <sz val="10"/>
        <rFont val="Arial"/>
        <family val="2"/>
      </rPr>
      <t>"Yes"</t>
    </r>
    <r>
      <rPr>
        <sz val="10"/>
        <rFont val="Arial"/>
        <family val="2"/>
      </rPr>
      <t xml:space="preserve"> to previous question, complete below table. If your community has a waste characterization study, the categories in your community's waste characterization study may not "map" exactly to the waste categories used by the GPC. For example, instead of "garden waste and plant debris," your community's waste characterization study may have categories such as "branches and stumps" and "prunings, trimmings, leaves and grass". In the below table, include the sum of all categories in your community's inventory (e.g. "branches and stumps" and "prunings, trimmings, leaves and grass") that you think appropriately "map" to the GPC waste category (e.g. "garden waste and plant debris"). 
2) </t>
    </r>
    <r>
      <rPr>
        <b/>
        <sz val="10"/>
        <rFont val="Arial"/>
        <family val="2"/>
      </rPr>
      <t xml:space="preserve">If you answered </t>
    </r>
    <r>
      <rPr>
        <b/>
        <u/>
        <sz val="10"/>
        <rFont val="Arial"/>
        <family val="2"/>
      </rPr>
      <t>"No"</t>
    </r>
    <r>
      <rPr>
        <sz val="10"/>
        <rFont val="Arial"/>
        <family val="2"/>
      </rPr>
      <t xml:space="preserve"> to the previous question, skip below table. 
</t>
    </r>
  </si>
  <si>
    <t>Mass of Waste Collected - Excluding Separated Organic Waste (short tons)</t>
  </si>
  <si>
    <t>Mass of Separated Organic Waste Collected (short tons)</t>
  </si>
  <si>
    <t>Off-road Emissions Attributable to Manufacturing Industries Subsector:</t>
  </si>
  <si>
    <t>Percent of Electricity Consumption Allocated to "Residential (Res. Data)" Subsector</t>
  </si>
  <si>
    <t>Table 10. Allocating Electric Vehicle Electricity Consumption to Building Subsectors</t>
  </si>
  <si>
    <t>Average Investor-owned Utility</t>
  </si>
  <si>
    <t>N/A</t>
  </si>
  <si>
    <t>Table 3. MA DEP 2016 Massachusetts-based Retail Level Electricity Emission Factor</t>
  </si>
  <si>
    <t>Table 4. Investor-owned Utility Electricity Emission Factor: Community</t>
  </si>
  <si>
    <t>Table 5. Investor-owned Utility Electricity Emission Factor: Regional Public Transit</t>
  </si>
  <si>
    <t>Table 6. List Investor-owned Utilities and % Non-emitting Sales</t>
  </si>
  <si>
    <t>Table 7. Community Choice Aggregation Electricity Emission Factors</t>
  </si>
  <si>
    <t>Table 8. Municipal Utility Electricity Emission Factor</t>
  </si>
  <si>
    <t>Table 9. List of Municipal Utilities % Non-emitting Sales</t>
  </si>
  <si>
    <t xml:space="preserve">The above electricity emission factor is used to calculate electricity emissions associated all electricity consumed by  buildings  in the community that is procured from the investor-owned utility that serves the community. </t>
  </si>
  <si>
    <t>The above electricity emission factor is only used to calculate electricity emissions associated with regional public transportation. The emission factor is based on the IOU average emission factor.</t>
  </si>
  <si>
    <t>Our municipality is not listed</t>
  </si>
  <si>
    <t>Table 10. Weighted Average Electricity Emission Factors by Building Subsector</t>
  </si>
  <si>
    <t xml:space="preserve">The above electricity emission factor is only used to calculate electricity emissions associated with electric vehicle charging and electricity transmission and distribution losses. The emission factor is based on the weighted average electricity emission factor by building subsector including all electricity providers (investor-owned utilities, municipal utilities and community choice aggregators). </t>
  </si>
  <si>
    <t>Table 11: IPCC AR5 100-Year Global Warming Potentials without Climate-carbon Feedbacks</t>
  </si>
  <si>
    <t>Table 12: Transportation Fuel Emission Factors</t>
  </si>
  <si>
    <t>Table 13: Conversion Factors</t>
  </si>
  <si>
    <t>Number of Households in Community</t>
  </si>
  <si>
    <t>Housing Type</t>
  </si>
  <si>
    <t>House Heating Fuel</t>
  </si>
  <si>
    <t>Fuel oil, kerosene, etc.</t>
  </si>
  <si>
    <t>Percent Occupied Housing Units in Community</t>
  </si>
  <si>
    <r>
      <t xml:space="preserve">Accounting for electric vehicle charging emissions: Electric vehicles owned by residents are accounted for in the Transportation Sector of this inventory. However, the electricity consumption associated with these vehicles is also bundled into the overall electricity consumption data provided by utilities. To account for this, electricity consumption associated with VMT from passenger and commercial vehicles was subtracted from a combination of the "Residential Buildings" and "Commercial &amp; Institutional Buildings &amp; Manufacturing Industries" subsectors above. See </t>
    </r>
    <r>
      <rPr>
        <u/>
        <sz val="9"/>
        <color theme="1"/>
        <rFont val="Arial"/>
        <family val="2"/>
      </rPr>
      <t>Table 10</t>
    </r>
    <r>
      <rPr>
        <sz val="9"/>
        <color theme="1"/>
        <rFont val="Arial"/>
        <family val="2"/>
      </rPr>
      <t xml:space="preserve"> below for a more detailed description of methodology used. </t>
    </r>
  </si>
  <si>
    <t xml:space="preserve">This worksheet provides a summary of energy consumption and emissions in the Stationary Energy Sector. This includes electricity, natural gas, fuel oil and off-road emissions. The emissions from electricity and natural gas were calculated based on guidance in the GPC, Appendix C: Built Environment Activities and Sources. Emissions from stationary combustion of natural gas were calculated based on method BE1.1, and emissions from electricity were calculated based on method BE.2.2. Emission factors are explained on the "Emission Factors" worksheet. </t>
  </si>
  <si>
    <t>All Building Subsectors</t>
  </si>
  <si>
    <t>MA Average Site Energy Consumption of Fuel Oil (Gallons / Year / Site)</t>
  </si>
  <si>
    <t>U.S. Average Residential Site Energy Consumption of Fuel Oil  adjusted based on MA Housing Stock (Gallons / Year / Site)</t>
  </si>
  <si>
    <t>Massachusetts Average Residential Site Energy Consumption of Fuel Oil (Gallons / Year / Site)</t>
  </si>
  <si>
    <t xml:space="preserve">Data on Massachusetts average fuel oil consumption averaged across all residential building types is from EIA Table CE2.2  Household Site Fuel Consumption in the Northeast Region, Totals and Averages, 2009. More current Massachusetts-specific data was not available through EIA. 
</t>
  </si>
  <si>
    <t>Commercial Total:</t>
  </si>
  <si>
    <t>Table 8. Electricity Transmission &amp; Distribution Losses</t>
  </si>
  <si>
    <t>Table 9. Fugitive Emissions from Natural Gas Distribution System Losses</t>
  </si>
  <si>
    <t xml:space="preserve">Percent of passenger vehicle electricity consumption attributable to the Residential Subsector based on a survey conducted by PlugInsights that revealed 81% of electric vehicle charging occurs at home. It was assumed that the remainder of passenger vehicle charging and all of commercial vehicle charging occurs at buildings in the Commercial &amp; Institutional Buildings &amp; Manufacturing Industries Subsector. </t>
  </si>
  <si>
    <t xml:space="preserve">The Massachusetts Vehicle Census does not provide emissions rates or fuel efficiencies for electric vehicles. In order to estimate fuel efficiency of electric vehicles, data on fuel efficiency from FuelEconomy.gov for the seven best selling electric vehicles of 2017 was used. </t>
  </si>
  <si>
    <t>Table 3. Rail Transit Electricity Transmission &amp; Distribution Losses</t>
  </si>
  <si>
    <t>Table 2: Weight of Waste and Organic Waste Collected by Collection Type</t>
  </si>
  <si>
    <t>All Waste Disposed of 
In-state</t>
  </si>
  <si>
    <t>This table assumes default State-level percent of disposed waste sent to landfill and combusted unless local data is entered on the "Inputs" tab of this workbook. Data on weight of Massachusetts waste disposed of in-state and weight of total in-state waste sent to landfill vs. combusted by waste type is from MA DEP 2017 Solid Waste Update, Table 2 "Solid Waste Tonnage and Percent Change Summary: 2016-2017", page 3.</t>
  </si>
  <si>
    <t>MA DEP Waste Source</t>
  </si>
  <si>
    <t>PET Containers other than Beverage Containers</t>
  </si>
  <si>
    <t>HDPE Bottles, colored and natural</t>
  </si>
  <si>
    <t xml:space="preserve">Empty Metal, Glass, and Plastic Containers </t>
  </si>
  <si>
    <t>Total Biologically Treated Solid Waste:</t>
  </si>
  <si>
    <t>Biological Treatment of Solid Waste</t>
  </si>
  <si>
    <t xml:space="preserve">In accordance with GPC Equation 8.8 Aggregate N2O Emission Factor (EF) for "continuous and semi-continuous incinerators" from GPC Table 8.6 was used. </t>
  </si>
  <si>
    <t xml:space="preserve">What is the population of your community? </t>
  </si>
  <si>
    <t>Deer Island WWTP</t>
  </si>
  <si>
    <t>Greater Lawrence WWTP</t>
  </si>
  <si>
    <t>Million Metric Tons (MMT)</t>
  </si>
  <si>
    <t>Massachusetts DEP assumed total state population for methane and nitrous oxide calculations</t>
  </si>
  <si>
    <t>Massachusetts total methane emissions from municipal wastewater treatment (MMT CO2e / year)</t>
  </si>
  <si>
    <t>Massachusetts total methane emissions from municipal wastewater treatment (MT CH4 / year)</t>
  </si>
  <si>
    <t>Massachusetts total nitrous oxide emissions from municipal wastewater treatment (MMT CO2e / year)</t>
  </si>
  <si>
    <t>Massachusetts total nitrous oxide emissions from municipal wastewater treatment (MT N2O / year)</t>
  </si>
  <si>
    <t>Massachusetts per capita methane emissions from municipal wastewater treatment (MT CH4 / year / capita)</t>
  </si>
  <si>
    <t>Massachusetts per capita nitrous oxide emissions from municipal wastewater treatment (MT N2O / year)</t>
  </si>
  <si>
    <t>CH4 Emissions (MT CH4):</t>
  </si>
  <si>
    <t>Data Description</t>
  </si>
  <si>
    <t>MA DEP GHG Report</t>
  </si>
  <si>
    <t>MA DEP "Wastewater Module" workbook</t>
  </si>
  <si>
    <t>In accordance with GPC Equation 8.11:
1) Annual Per Capita Protein Consumption (Protein) for year 2017 from the EPA Inventory of U.S. Greenhouse Gas Emissions and Sinks: 1990 -2017, Table 7-16 was used</t>
  </si>
  <si>
    <t>Table 1: Summary of Emissions From Wastewater Treatment and Discharge</t>
  </si>
  <si>
    <t xml:space="preserve">Emissions from energy generation supplied to the grid (which make up all emissions from the Energy Industries Sector in this inventory) are required for territorial total but not for BASIC/BASIC+ reporting under GPC guidelines. </t>
  </si>
  <si>
    <t xml:space="preserve">Total community-level electricity and natural gas consumption is provided through Mass Save Data. For communities that have municipal utilities or community choice aggregations, electricity consumption data from these providers is also included. Utility-specific and rate-specific electricity emission factors were applied to the electricity consumption. A universal The Climate Registry (TCR) natural gas emission factor was used to calculate natural gas emissions. Fuel oil consumption was estimated using U.S. Energy Information data on average fuel oil consumption by building type, Massachusetts Executive office of Labor and Workforce Development (EOLWD) data on employment by sector, and American Community Survey data on residential building types. The total natural gas, fuel oil and electricity consumption for the community is summed in a separate worksheet titled "Stationary Energy - Summary."
                                                          </t>
  </si>
  <si>
    <t xml:space="preserve">Data on US average fuel oil consumption by residential building type and the percent of total housing units in the US by residential building type is from EIA Table CE2.1 Annual Household Site Fuel Consumption in the U.S. - totals and averages, 2015. Fuel oil consumption data was not available for single-family attached residential units. These units were assumed to consume 92.05% of single-family detached housing units based on prior data published by EIA. </t>
  </si>
  <si>
    <t xml:space="preserve">Average monthly employment data and number of employer establishments (i.e. buildings) by "Primary Building Activity" is from Massachusetts Executive office of Labor and Workforce Development (EOLWD) Employment and Wages (ES-202) data. North American Industry Classification System (NAICS) codes and titles were matched to "principal business activities" of buildings as defined by the U.S. Energy Information Administration (EIA).  Average monthly employment per employer establishment (i.e. building) for each primary building activity was calculated using this data. </t>
  </si>
  <si>
    <t>North American Industry Classification System (NAICS) Code</t>
  </si>
  <si>
    <t xml:space="preserve">Above data is from Massachusetts Executive office of Labor and Workforce Development (EOLWD) Employment and Wages (ES-202) data. North American Industry Classification System (NAICS) codes and titles were matched to "principal business activities" of buildings as defined by the U.S. Energy Information Administration (EIA).  </t>
  </si>
  <si>
    <t xml:space="preserve">A Massachusetts-specific electricity transmission and distribution grid loss factor was calculated per U.S. Energy Information Administration instructions: "To calculate T&amp;D losses as a percentage, divide estimated losses by the result of total disposition minus direct use. Direct use electricity is the electricity generated mainly at non-utility facilities and that is not put onto the electricity transmission and distribution grid, and therefore direct use electricity does not contribute to T&amp;D losses." This data is provided by EIA in Massachusetts Table 10: Supply and Disposition of Electricity, 1990 through 2017. </t>
  </si>
  <si>
    <t>The method for estimating emissions from off-road emissions sources uses the Motor Vehicle Emission Simulator (MOVES) version 2014a. This is a publicly available EPA emission modeling system that estimates emissions for mobile non-road sources at the national and county level for criteria air pollutants, greenhouse gases, and air toxics. Proportional emissions data was extracted from the county-level data through the most applicable ratios available.</t>
  </si>
  <si>
    <r>
      <rPr>
        <b/>
        <sz val="12"/>
        <rFont val="Arial"/>
        <family val="2"/>
      </rPr>
      <t>* =</t>
    </r>
    <r>
      <rPr>
        <b/>
        <sz val="10"/>
        <rFont val="Arial"/>
        <family val="2"/>
      </rPr>
      <t xml:space="preserve"> </t>
    </r>
    <r>
      <rPr>
        <sz val="9"/>
        <rFont val="Arial"/>
        <family val="2"/>
      </rPr>
      <t xml:space="preserve">The grid loss factor used to estimate emissions from Eclectic T&amp;D losses is applied to all electricity consumption, including MBTA consumption estimates. Please note that the EIA grid loss factor may not be representative of actual losses from the MBTA distribution system.          </t>
    </r>
    <r>
      <rPr>
        <sz val="10"/>
        <rFont val="Arial"/>
        <family val="2"/>
      </rPr>
      <t xml:space="preserve">                         </t>
    </r>
  </si>
  <si>
    <r>
      <rPr>
        <b/>
        <sz val="12"/>
        <rFont val="Arial"/>
        <family val="2"/>
      </rPr>
      <t>* =</t>
    </r>
    <r>
      <rPr>
        <b/>
        <sz val="10"/>
        <rFont val="Arial"/>
        <family val="2"/>
      </rPr>
      <t xml:space="preserve"> </t>
    </r>
    <r>
      <rPr>
        <sz val="9"/>
        <rFont val="Arial"/>
        <family val="2"/>
      </rPr>
      <t xml:space="preserve">The grid loss factor used to estimate emissions from Eclectic T&amp;D losses is applied to all electricity consumption, including MBTA consumption estimates. Please note that the EIA grid loss factor may not be representative of actual losses from the MBTA distribution system.        </t>
    </r>
    <r>
      <rPr>
        <sz val="10"/>
        <rFont val="Arial"/>
        <family val="2"/>
      </rPr>
      <t xml:space="preserve">                           </t>
    </r>
  </si>
  <si>
    <t>Mass of Waste Collected - Excluding Separated Organic Waste (MT)</t>
  </si>
  <si>
    <t>Mass of Separated Organic Waste Collected (MT)</t>
  </si>
  <si>
    <t>Construction &amp; Demolition Waste (C&amp;D)</t>
  </si>
  <si>
    <t>The table above estimates the amount of waste sent to landfill based on 1) The mass of waste collected (excluding separated organic waste) and 2) The calculated percent of disposed waste sent to landfills.</t>
  </si>
  <si>
    <t>Table 5: Methane Generation Potential (GPC Equation 8.4) and Degradable Organic Carbon (Equation 8.1)</t>
  </si>
  <si>
    <t xml:space="preserve">Fraction of Degradable Organic Carbon Degraded </t>
  </si>
  <si>
    <t>City/Town Data: Percent of Total Disposed Waste in Category</t>
  </si>
  <si>
    <t>Sate Data: Percent of Total Disposed Waste in Category</t>
  </si>
  <si>
    <t>Selected Data: Percent of Total Disposed Waste in Category</t>
  </si>
  <si>
    <r>
      <t xml:space="preserve">This table assumes default State-level composition of waste unless local data is entered on the "Inputs" tab of this workbook. See </t>
    </r>
    <r>
      <rPr>
        <u/>
        <sz val="9"/>
        <rFont val="Arial"/>
        <family val="2"/>
      </rPr>
      <t>Table 7</t>
    </r>
    <r>
      <rPr>
        <sz val="9"/>
        <rFont val="Arial"/>
        <family val="2"/>
      </rPr>
      <t xml:space="preserve"> below for a detailed explanation of how each waste type was allocated to the appropriate GPC waste category. </t>
    </r>
  </si>
  <si>
    <t xml:space="preserve">Plastic Tubs and lids (HDPE, PP, etc.) </t>
  </si>
  <si>
    <t xml:space="preserve">Prunings, Trimmings, Leaves and Grass </t>
  </si>
  <si>
    <t xml:space="preserve">The above data is from the Massachusetts's Department of Environmental Protection (DEP) "Summary of Waste Combustor Class II Recycling Program Waste Characterization Studies (Includes 2010, 2013 &amp; 2016 Data)". Data from the "2016 Detailed Fall &amp; Winter" tab of the workbook was used. 2016 data was the most recent data available. This data provides a weighted average composition by material category based on the amount of waste that each incineration facility burned in calendar year 2016. </t>
  </si>
  <si>
    <t>Biological Treatment Type</t>
  </si>
  <si>
    <t xml:space="preserve">Methane and nitrous oxide emissions associated with biological treatment of solid waste were calculated using GPC equation 8.5. Equation 8.5 estimates direct emissions resulting from two treatment types - compositing and anaerobic digestion.  State default values are available for the amount of organic waste that is composted versus anaerobically digested. These default values can be replaced with community-specific values on the "Inputs" worksheet if community-specific data is available. </t>
  </si>
  <si>
    <t xml:space="preserve">Carbon dioxide, methane, and nitrous oxide emissions associated with incineration of solid waste were calculated using GPC equations 8.6, 8.7, and 8.8. Equation 8.6 estimates non-biogenic carbon dioxide emissions from the incineration of waste, Equation 8.7 estimates methane emissions from the incineration of waste, and Equation 8.8 estimates nitrous oxide emissions from the incineration of waste. State default values are available for the amount of waste that is incinerated versus sent to landfill. These default values can be replaced with community-specific values on the "Inputs" worksheet if community-specific data is available.  In general, the mass of incinerated waste in total and for each fraction of matter type i (paper, textiles, food, etc.) are used to determine the emissions. The quantities for CO2, CH4 and NO2 are summed, and then multiplied by the mass to calculate the total emissions from incinerated waste. 
In Massachusetts, the incinerated waste is used to generate electricity. Emissions generated as a result of incineration occurring outside of a city's boundary are considered Scope 3 emissions.  According to the GPC, waste used to generate energy is considered a stationary energy source. Stationary energy sources outside of the city's boundary are not included in the inventory. If a waste incineration power plant is located inside the city's boundary, it is accounted for the "Stationary Energy - E. Indus." worksheet. </t>
  </si>
  <si>
    <t>Massachusetts Waste Combustion Overview</t>
  </si>
  <si>
    <t>Est. Total Waste to Landfill (short tons)</t>
  </si>
  <si>
    <t>EPA Inventory of U.S. Greenhouse Gas Emissions and Sinks: 1990-2017</t>
  </si>
  <si>
    <t xml:space="preserve">2) A factor to Adjust for Non-consumed Protein (Fnon-con) of 1.4 for countries with garbage disposals was used. 
3) A default value of 0.16 for Fraction of Nitrogen in Protein (Fnpr) was used. 
4) A default value of 1.25 for Factor for Industrial and Commercial Co-discharged Protein (Find-com) was used. 
5) A default value of 0 for Nitrogen Removed from Sludge (Nsludge) was used. 
6) A default value of 0.005 for Emission Factor for N2O Emissions from Discharged Wastewater (EFeffluent) was used. </t>
  </si>
  <si>
    <t>Massachusetts DEP assumed methane GWP</t>
  </si>
  <si>
    <t>Massachusetts DEP assumed nitrous oxide GWP</t>
  </si>
  <si>
    <t>Table 2. Fugitive Emission Factor for Distribution Sector Natural Gas</t>
  </si>
  <si>
    <t>Description</t>
  </si>
  <si>
    <t>Annexes to the Inventory of U.S. GHG Emissions and Sinks (2015)</t>
  </si>
  <si>
    <t xml:space="preserve">Retail electricity providers can voluntarily report the percent of sales reported as "non-emitting MWh" to DEP. Since this information is not available for all retailers, the above analysis assumes that the base percentage of "non-emitting MWh" for retailers is equal to the RPS Class I (including carve-outs) minimum requirement of 12.0% for 2017. This 12.0% assumption is based off of retailers required minimum compliance with the RPS. In addition to this 12.0% minimum compliance, some CCAs offer rates that include a set percentage of Class I Voluntary Renewable Energy Credits (RECs). Users should input the % of Class I Voluntary RECs associated with the electricity rates offered in their community on the "Inputs" tab. </t>
  </si>
  <si>
    <t xml:space="preserve">Distillate Fuel Oil No. 2. </t>
  </si>
  <si>
    <t>Million British Thermal Units (MMBTU)</t>
  </si>
  <si>
    <t>Table 2. Direct Emissions From Biologically Treated Solid Waste (GPC Equation 8.5)</t>
  </si>
  <si>
    <t>A "Wastewater Module" Excel workbook was provided by Sue Ann Richardson of DEP (sue.ann.richardson@state.ma.us) on 9/17/19. Data from the "Summary" tab of this workbook was used to obtain data on State total methane and nitrous oxide emissions from municipal wastewater treatment for 2017. DEP reported emissions in terms of MT CO2e and assumed a methane GWP of 25 and a nitrous oxide GWP of 298. DEP assumed a Massachusetts state population not served by MWRA of 4,279,130.</t>
  </si>
  <si>
    <t>DEP Generic "Massachusetts-based" CH4 Electricity Emission Factor (lbs CH4 / MWh)</t>
  </si>
  <si>
    <t>DEP Generic "Massachusetts-based" CO2 Electricity Emission Factor (lbs CO2 / MWh)</t>
  </si>
  <si>
    <t>DEP Generic "Massachusetts-based" CH4 Electricity Emission Factor (lbs N2O / MWh)</t>
  </si>
  <si>
    <t>Blue Line (Heavy Rail)</t>
  </si>
  <si>
    <t>Orange Line (Heavy Rail)</t>
  </si>
  <si>
    <t>Green Line (Light Rail)</t>
  </si>
  <si>
    <t>Commuter Rail</t>
  </si>
  <si>
    <t>MBTA Frequency-weighted Route Distance (miles/year)*</t>
  </si>
  <si>
    <t xml:space="preserve">* = MBTA and City/Town Frequency-weighted Route Distance is estimated by MAPC based on GIS mapping information and route schedules. </t>
  </si>
  <si>
    <t>City/Town Frequency-weighted Route Distance (miles/year)*</t>
  </si>
  <si>
    <t>Table 2: Rail Route Distance, Energy Consumption &amp; Emissions by Mode</t>
  </si>
  <si>
    <t>City/Town Frequency-weighted Route Distance (miles/year)</t>
  </si>
  <si>
    <t>Silver Line</t>
  </si>
  <si>
    <t>RTA 1 Bus Routes</t>
  </si>
  <si>
    <t>RTA 2 Bus Routes</t>
  </si>
  <si>
    <t>RTA 3 Bus Routes</t>
  </si>
  <si>
    <t>Table 2: Summary of Private Vehicle Miles Travelled, Fuel Consumption, Efficiency and Emissions by Fuel Type</t>
  </si>
  <si>
    <t>Table 3: Summary of Private On-road Passenger &amp; Commercial Vehicles VMT , Fuel Consumption &amp; Emissions by Fuel Type</t>
  </si>
  <si>
    <t>Table 4: Private On-road Passenger Vehicles VMT, Fuel Consumption &amp; Emissions by Fuel Type</t>
  </si>
  <si>
    <t>Table 5: Private On-road Commercial Vehicles VMT, Fuel Consumption &amp; Emissions by Fuel Type</t>
  </si>
  <si>
    <t>Table 6: Private On-road Electric Vehicles Fuel Efficiency</t>
  </si>
  <si>
    <t>Table 7: Public Transit On-road Route Distance, Fuel Consumption &amp; Emissions by Mode</t>
  </si>
  <si>
    <t>Table 9: Public &amp; Private Transit On-road Electricity Transmission &amp; Distribution Losses</t>
  </si>
  <si>
    <t>All RTA Bus:</t>
  </si>
  <si>
    <t>MBTA Silver Line</t>
  </si>
  <si>
    <t>All MBTA Bus (Excluding Silver Line)</t>
  </si>
  <si>
    <t>On-Road Public Transit Type</t>
  </si>
  <si>
    <t>MBTA On-Road Public Transportation City/Town Frequency-weighted Route Distance</t>
  </si>
  <si>
    <t>MBTA Rail Public Transportation City/Town Frequency-weighted Route Distance</t>
  </si>
  <si>
    <t>Regional Transit Authority On-Road Public Transportation City/Town Fuel Consumption</t>
  </si>
  <si>
    <t>City/Town Electricity Consumption (kWh/year)</t>
  </si>
  <si>
    <t>Tonnage of Solid Waste Collected: Municipal &amp; Private Haulers</t>
  </si>
  <si>
    <t>City-Specific Waste Characterization</t>
  </si>
  <si>
    <t>City-Specific Disposed Waste Destination</t>
  </si>
  <si>
    <t>Households in Community by Housing Type &amp; Percent of Homes Using Fuel Oil</t>
  </si>
  <si>
    <t>Total &amp; Manufacturing Employment</t>
  </si>
  <si>
    <t>EPA GHGRP Source</t>
  </si>
  <si>
    <t xml:space="preserve">The above data is from the EPA's Greenhouse Gas Reporting Program (GHGRP) "2017 Data Summary Spreadsheets". Data was pulled from the "Direct Emitters" tab. All facilities in Massachusetts, excluding landfills that do not generate electricity, are included in the above table. </t>
  </si>
  <si>
    <t>1 NEW BOND STREET</t>
  </si>
  <si>
    <t>SAINT-GOBAIN ABRASIVES and SAINT-GOBAIN CERAMICS &amp; PLASTICS, INC.</t>
  </si>
  <si>
    <t>55 LAKE AVE NORTH</t>
  </si>
  <si>
    <t>UMASS MEDICAL SCHOOL</t>
  </si>
  <si>
    <t>20 Sylvan Road</t>
  </si>
  <si>
    <t>Skyworks Solutions, Inc.</t>
  </si>
  <si>
    <t>804 Woburn Street, MS-424</t>
  </si>
  <si>
    <t>Analog Devices, Inc./ Wilmington Manufacturing</t>
  </si>
  <si>
    <t>9 BRIDGE ST</t>
  </si>
  <si>
    <t>Fore River Energy Center</t>
  </si>
  <si>
    <t>15 AGAWAM AVE</t>
  </si>
  <si>
    <t>106 CENTRAL ST</t>
  </si>
  <si>
    <t>WELLESLEY COLLEGE</t>
  </si>
  <si>
    <t>1314 SOMERSET AVE</t>
  </si>
  <si>
    <t>Cleary Flood</t>
  </si>
  <si>
    <t>730 WORCESTER STREET</t>
  </si>
  <si>
    <t>SOLUTIA INC - INDIAN ORCHARD PLANT</t>
  </si>
  <si>
    <t>BRAYTON POINT ROAD</t>
  </si>
  <si>
    <t>Brayton Point</t>
  </si>
  <si>
    <t>100 SALEM TURNPIKE</t>
  </si>
  <si>
    <t>Wheelabrator Saugus Inc.</t>
  </si>
  <si>
    <t>9 FREEZER ROAD</t>
  </si>
  <si>
    <t>Canal Station</t>
  </si>
  <si>
    <t>141 CRANBERRY HIGHWAY ROUTE 28</t>
  </si>
  <si>
    <t>SEMASS PARTNERSHIP RESOURCE RECOVERY FACILITY</t>
  </si>
  <si>
    <t>500 HUBBARD AVENUE</t>
  </si>
  <si>
    <t>COVANTA PITTSFIELD LLC</t>
  </si>
  <si>
    <t>235 MERRILL ROAD</t>
  </si>
  <si>
    <t>Pittsfield Generating</t>
  </si>
  <si>
    <t>227 WASHINGTON ST.</t>
  </si>
  <si>
    <t>Peabdoy</t>
  </si>
  <si>
    <t>Rousselot Peabody, Inc.</t>
  </si>
  <si>
    <t>285 HOLT ROAD</t>
  </si>
  <si>
    <t>WHEELABRATOR NORTH ANDOVER INC.</t>
  </si>
  <si>
    <t>331 SOUTHWEST CUTOFF</t>
  </si>
  <si>
    <t>WHEELABRATOR MILLBURY INC</t>
  </si>
  <si>
    <t>1 NATIONAL STREET</t>
  </si>
  <si>
    <t>Ardagh Glass Inc. (Milford)</t>
  </si>
  <si>
    <t>108 NATIONAL ST</t>
  </si>
  <si>
    <t>Milford Power, LLC</t>
  </si>
  <si>
    <t>54 Thayer Rd</t>
  </si>
  <si>
    <t>TGP Station 266A Mendon</t>
  </si>
  <si>
    <t>9 SUMMER ST</t>
  </si>
  <si>
    <t>Medway Station</t>
  </si>
  <si>
    <t>1000 WESTERN AVE</t>
  </si>
  <si>
    <t>General Electric Aviation</t>
  </si>
  <si>
    <t>327 MOODY ST</t>
  </si>
  <si>
    <t>Stony Brook</t>
  </si>
  <si>
    <t>2 TANNER ST</t>
  </si>
  <si>
    <t>Tanner Street Generation</t>
  </si>
  <si>
    <t>110 MARBLE ST</t>
  </si>
  <si>
    <t>OLDCASTLE STONE PRODUCTS</t>
  </si>
  <si>
    <t>750 WORCESTER ST</t>
  </si>
  <si>
    <t>Indian Orchard</t>
  </si>
  <si>
    <t>MASSPOWER</t>
  </si>
  <si>
    <t>75 Reed Road</t>
  </si>
  <si>
    <t>Intel Massachusetts, Inc.</t>
  </si>
  <si>
    <t>100 RECOVERY WAY</t>
  </si>
  <si>
    <t>COVANTA HAVERHILL INC</t>
  </si>
  <si>
    <t>66 ABG/CE, 120 Grenier Street</t>
  </si>
  <si>
    <t>Hanscom AFB</t>
  </si>
  <si>
    <t>U S AIR FORCE HANSCOM AFB</t>
  </si>
  <si>
    <t>100 NEWARK WAY</t>
  </si>
  <si>
    <t>NEWARK AMERICA</t>
  </si>
  <si>
    <t>18 ROVER ST</t>
  </si>
  <si>
    <t>DISTRIGAS OF MASSACHUSETTS LLC</t>
  </si>
  <si>
    <t>97 EAST MAIN STREET</t>
  </si>
  <si>
    <t>ERVING PAPER MILLS INC</t>
  </si>
  <si>
    <t>ONE HARBORSIDE DRIVE</t>
  </si>
  <si>
    <t>East Boston</t>
  </si>
  <si>
    <t>MASSPORT LOGAN AIRPORT</t>
  </si>
  <si>
    <t>1450 SOMERSET AVE</t>
  </si>
  <si>
    <t>1 ENERGY RD.</t>
  </si>
  <si>
    <t>Dartmouth Power</t>
  </si>
  <si>
    <t>196 Carpenter Hill Rd</t>
  </si>
  <si>
    <t>TGP Station 264 Charlton</t>
  </si>
  <si>
    <t>10 SHERWOOD LANE</t>
  </si>
  <si>
    <t>Millennium Power Partners</t>
  </si>
  <si>
    <t>225 Binney Street</t>
  </si>
  <si>
    <t>BIOGEN INC</t>
  </si>
  <si>
    <t>46 Blackstone Street</t>
  </si>
  <si>
    <t>The President and Fellows of Harvard University (Cambridge Allston Blackstone)</t>
  </si>
  <si>
    <t>59 VASSAR ST</t>
  </si>
  <si>
    <t>MIT Central Utility Plant</t>
  </si>
  <si>
    <t>265 FIRST ST</t>
  </si>
  <si>
    <t>Kendall Square</t>
  </si>
  <si>
    <t>150 POTTER ROAD</t>
  </si>
  <si>
    <t>Potter</t>
  </si>
  <si>
    <t>173 ALFORD ST</t>
  </si>
  <si>
    <t>Mystic</t>
  </si>
  <si>
    <t>360 HUNTINGTON AVENUE</t>
  </si>
  <si>
    <t>NORTHEASTERN UNIVERSITY</t>
  </si>
  <si>
    <t>120 Ashford Street</t>
  </si>
  <si>
    <t>Boston University</t>
  </si>
  <si>
    <t>1 GILLETTE PARK</t>
  </si>
  <si>
    <t>GILLETTE CO</t>
  </si>
  <si>
    <t>165 KNEELAND ST</t>
  </si>
  <si>
    <t>Kneeland Station</t>
  </si>
  <si>
    <t>474 BROOKLINE AVE</t>
  </si>
  <si>
    <t>MEDICAL AREA TOTAL ENERGY PLANT</t>
  </si>
  <si>
    <t>204 ELM ST</t>
  </si>
  <si>
    <t>ANP Blackstone Energy Company, LLC</t>
  </si>
  <si>
    <t>92 DEPOT ST</t>
  </si>
  <si>
    <t>155 MAPLE ST</t>
  </si>
  <si>
    <t>ANP Bellingham Energy Company, LLC</t>
  </si>
  <si>
    <t>1 BURTT RD.</t>
  </si>
  <si>
    <t>Pfizer</t>
  </si>
  <si>
    <t>360 CAMPUS CENTER WAY</t>
  </si>
  <si>
    <t>UMASS PHYSICAL PLANT BUILDING</t>
  </si>
  <si>
    <t>1615 Suffield St</t>
  </si>
  <si>
    <t>TGP Station 261 Agawam</t>
  </si>
  <si>
    <t>188 M ST</t>
  </si>
  <si>
    <t>COVANTA SPRINGFIELD LLC</t>
  </si>
  <si>
    <t>36 MOYLAN LANE</t>
  </si>
  <si>
    <t>Berkshire Power</t>
  </si>
  <si>
    <t>260 COLUMBIA STREET</t>
  </si>
  <si>
    <t>SPECIALTY MINERALS</t>
  </si>
  <si>
    <t>Non-biogenic CO2 Emissions (MT CO2/year)</t>
  </si>
  <si>
    <t>Address</t>
  </si>
  <si>
    <t>City</t>
  </si>
  <si>
    <t>Facility Name</t>
  </si>
  <si>
    <t>Facility Id</t>
  </si>
  <si>
    <t>Energy Industry Non-biogenic CO2 Emissions (MT CO2)</t>
  </si>
  <si>
    <t>Town/City</t>
  </si>
  <si>
    <t>Table 1. Energy Industries Emissions Summary</t>
  </si>
  <si>
    <t>Stationary Energy: Energy Industries</t>
  </si>
  <si>
    <t>Consumption (mmBtu)</t>
  </si>
  <si>
    <t xml:space="preserve"> Emissions (MTCO2e)</t>
  </si>
  <si>
    <t>Direct Emissions</t>
  </si>
  <si>
    <t>Gigagram (Gg)</t>
  </si>
  <si>
    <t>C&amp;I Buildings &amp; Manufacturing Industries</t>
  </si>
  <si>
    <t xml:space="preserve"> Emissions (MTCO2)</t>
  </si>
  <si>
    <t xml:space="preserve">This worksheet provides an overall summary of emissions from the three main GPC sectors - Stationary Energy, Transportation, and Waste - based on the information calculated for the sector specific emissions summaries. This tool does not include emissions from the Industrial Process and Product Use (IPPU) and Agriculture, Forestry and Other Land Use (AFOLU) sectors due to lack of available data. Emissions are broken out by sector, subsector, source and scope. </t>
  </si>
  <si>
    <t>Summary Figures</t>
  </si>
  <si>
    <t xml:space="preserve">Data on emissions generation by the energy industry for each community was provided by the EPA's Greenhouse Gas Reporting Program (GHGRP). All facilities included in the database , excluding landfills that do not generate electricity, are included. Emissions from Energy Industries (power plants) are part of the Stationary Energy Sector and fall into one of two categories. In both instances, the emissions in the below tables are provided for informational purposes only. 
Category 1)  If the electricity generated from these facilities is consumed direcltly within the city (e.g. co-generation facility at large business), the emissions from this power plant should be captured under BASIC/BASIC+ GPC reporting guidelines. The natural gas consumption and associated emissions requried to generate electricity at these power plants is caputred in the Mass Save energy data on the "Stationary Energy - Buildings" tab and included in the total reported emissions. Therefore, adding the below Energy Industries emissions to the community total would consitute double counting of emissions. 
Category 2) If the electricity generated from these facilities is sent to the regional electricity grid (e.g. large coal power plant), the emissions from this power plant should not be caputred under BASIC/BASIC+ GPC reporting guidelines. </t>
  </si>
  <si>
    <t xml:space="preserve">Emissions from rail public transportation services include regional rail (commuter rail) and urban rail (heavy and light rail). All rail data on frequency-weighted route miles and fuel consumption was provided by the MBTA. The MBTA provided data back to 2010, including annual fuel use by mode and fuel type, and annual vehicle miles traveled by mode. The MBTA conducts its analysis based on fiscal year (July 1-June30), so calendar year estimates for 2017 are calculated as 50% of the value for FY17 and 50% of the value of FY18.  </t>
  </si>
  <si>
    <t>This worksheet provides a summary of weight disposed of and emissions from the Waste Sector. The Waste Sector accounts for disposal of waste, biological treatment of waste, incineration of waste and wastewater. Collected waste is either sent to landfill or incinerated. Collected organic waste is either sent to a compositing facility or an anaerobic digestion facility. Wastewater is either sent to the Massachusetts Water Resources Authority (MRWA's) Deer Island Wastewater Treatment Plant or treated at a local, municipal wastewater treatment plant.</t>
  </si>
  <si>
    <t xml:space="preserve">Methane emissions associated with landfilled waste were calculated using GPC equations 8.1, 8.3 and 8.4. Equation 8.3 estimates methane emissions resulting from solid waste sent to landfill. This equation assigns emissions to a community based on the amount of waste disposed in a given year. State default values are available for the amount of waste that is incinerated versus sent to landfill and the composition of waste. These default values can be replaced with community-specific values on the "Inputs" worksheet if community-specific data is available. </t>
  </si>
  <si>
    <t>County-Level Emissions Allocated to City/Town By:</t>
  </si>
  <si>
    <t>City-Specific Organic Recycling Destination</t>
  </si>
  <si>
    <t xml:space="preserve">This worksheet provides a summary of energy consumption and emissions in the Transportation Sector. On-road transportation emissions are based on VMT estimates for vehicles registered in a community according to the Vehicle Census of Massachusetts data. This approach is compliant with the GPC's "resident activity method" for estimating on-road VMT. The VMT fuel mix is used to determine the portion of VMT that is from gasoline, diesel and electric vehicles. Average fuel efficiencies of vehicles are then applied to estimate the gasoline, diesel, and electricity fuel consumption. Fuel-specific emission factors are then applied to each type of fuel consumption to estimate emissions. On-road public transportation (i.e. bus, trackless trolley) fuel consumption and emissions attributable to an individual community are calculated using the frequency-weighted route distance in the community, the total system-wide frequency-weighted route distance and the total system-wide fuel consumption. See the "Transportation - On Road" tab for more details. Rail transportation emissions were also accounted for using a similar methodology for on-road public transportation. See the "Transportation-Rail" tab for more details. Emission factors are explained on the "Emission Factors" tab. </t>
  </si>
  <si>
    <t xml:space="preserve">Data on vehicle count, average daily distance travelled per vehicles, and average fuel efficiency was provided by the Metropolitan Area Planning Council (MAPC) through the Massachusetts Vehicle Census for passenger and commercial vehicles garaged in city/town. Data is from Q4 of 2014. The above table assumes that all fuel consumed by "flex-fuel" vehicles is gasoline, as opposed to E-85, due to the lack of E-85 fueling stations in city/town and the surrounding region. </t>
  </si>
  <si>
    <r>
      <rPr>
        <b/>
        <sz val="12"/>
        <rFont val="Arial"/>
        <family val="2"/>
      </rPr>
      <t>* =</t>
    </r>
    <r>
      <rPr>
        <sz val="10"/>
        <rFont val="Arial"/>
        <family val="2"/>
      </rPr>
      <t xml:space="preserve"> </t>
    </r>
    <r>
      <rPr>
        <sz val="9"/>
        <rFont val="Arial"/>
        <family val="2"/>
      </rPr>
      <t xml:space="preserve">MBTA and City/Town Frequency-weighted Route Distance is estimated by MAPC based on GIS mapping information and route schedules. Above analysis assumes 50% of silver line buses are battery electric and 50% are diesel hybrid.  </t>
    </r>
  </si>
  <si>
    <t xml:space="preserve">The above table accounts for on-road bus emissions from Regional Transit Authorities (RTAs) operating within the city boundary. Data must be collected by cities in order to estimate RTA emissions. Communities will need to discuss with RTAs the best methodology for estimating fuel consumption associated with bus lines going through an individual community. RTAs may be able to provide a direct estimate of fuel consumption occurring within a city boundary or they may be able to provide information on route distance travelled in the city, total route distance travelled by the RTA and total fuel consumption associated with the RTA. This information could potentially be used to estimate total RTA fuel consumption attributable to a single community.  </t>
  </si>
  <si>
    <t>Private vehicle on-road transportation emissions were estimated using the GPC's resident activity method. This methodology uses municipality-specific data on number of registered vehicles, annual distance travelled, fuel type and fuel efficiency from the Massachusetts Vehicle Census (MAVC). On-road public transportation, including buses and trackless trolleys, was also accounted for utilizing data on distance travelled, route frequency, and energy consumption provided by the MBTA. The MBTA provided data back to 2010, including annual fuel use by mode and fuel type, and annual vehicle miles traveled by mode. The MBTA conducts its analysis based on fiscal year (July 1-June30), so calendar year estimates for 2017 are calculated as 50% of the value for FY17 and 50% of the value of FY18.  On-road public transportation for buses operated by other Regional Transit Authorities (RTAs) may be accounted for in Table 7.</t>
  </si>
  <si>
    <t xml:space="preserve">Emissions from Energy Industries (power plants) are part of the Stationary Energy Sector and fall into one of two categories. In both instances, the emissions in the above table are provided for informational purposes only. 
Category 1)  If the electricity generated from these facilities is consumed directly within the city (e.g. co-generation facility at large business), the emissions from this power plant should be captured under BASIC/BASIC+ GPC reporting guidelines. The natural gas consumption and associated emissions required to generate electricity at these power plants is captured in the Mass Save energy data on the "Stationary Energy - Buildings" tab and included in the total reported emissions. Therefore, adding the above Energy Industries emissions to the community total would constitute double counting of emissions. 
Category 2) If the electricity generated from these facilities is sent to the regional electricity grid (e.g. large coal power plant), the emissions from this power plant should not be captured under BASIC/BASIC+ GPC reporting guidelines. </t>
  </si>
  <si>
    <r>
      <t>Emission factors in terms of carbon dioxide (CO</t>
    </r>
    <r>
      <rPr>
        <sz val="8"/>
        <rFont val="Arial"/>
        <family val="2"/>
      </rPr>
      <t>2</t>
    </r>
    <r>
      <rPr>
        <sz val="10"/>
        <rFont val="Arial"/>
        <family val="2"/>
      </rPr>
      <t>), methane (CH</t>
    </r>
    <r>
      <rPr>
        <sz val="8"/>
        <rFont val="Arial"/>
        <family val="2"/>
      </rPr>
      <t>4</t>
    </r>
    <r>
      <rPr>
        <sz val="10"/>
        <rFont val="Arial"/>
        <family val="2"/>
      </rPr>
      <t>) and nitrous oxide (N</t>
    </r>
    <r>
      <rPr>
        <sz val="8"/>
        <rFont val="Arial"/>
        <family val="2"/>
      </rPr>
      <t>2</t>
    </r>
    <r>
      <rPr>
        <sz val="10"/>
        <rFont val="Arial"/>
        <family val="2"/>
      </rPr>
      <t>O) are summarized on this worksheet. Global warming potentials of methane (CH</t>
    </r>
    <r>
      <rPr>
        <sz val="8"/>
        <rFont val="Arial"/>
        <family val="2"/>
      </rPr>
      <t>4</t>
    </r>
    <r>
      <rPr>
        <sz val="10"/>
        <rFont val="Arial"/>
        <family val="2"/>
      </rPr>
      <t xml:space="preserve">) and nitrous oxide (N2O) and common conversion factors are also included on this worksheet. In accordance with the GPC, the most recent global warming potential (GWP) values on a 100-year time horizon from the IPCC 5th Assessment Report are used throughout this report. 
</t>
    </r>
  </si>
  <si>
    <t xml:space="preserve">Inventory year: </t>
  </si>
  <si>
    <t>Rockland WWTP</t>
  </si>
  <si>
    <t>Clinton WWTP</t>
  </si>
  <si>
    <t>Pittsfield WWTP</t>
  </si>
  <si>
    <t>If you selected a specific WWTP above, what is the estimated percent of your total community's population served by this WWTP?</t>
  </si>
  <si>
    <t>Community Population Served by MWRA WWTP:</t>
  </si>
  <si>
    <t>Table 2: Population Served vs. Not Served by MWRA Wastewater Treatment</t>
  </si>
  <si>
    <t>Total Community Population:</t>
  </si>
  <si>
    <t>Percent of Community Population Served by MWRA WWTP:</t>
  </si>
  <si>
    <t>Community Population Not Served by MWRA WWTP:</t>
  </si>
  <si>
    <t>Community population not served by MWRA</t>
  </si>
  <si>
    <t>Community Population Served by MWRA WWTP</t>
  </si>
  <si>
    <t>Wastewater Treatment Emissions from MWRA Wastewater</t>
  </si>
  <si>
    <t>Wastewater Treatment Emissions from non-MWRA Wastewater</t>
  </si>
  <si>
    <t>Total Wastewater Treatment Emissions</t>
  </si>
  <si>
    <t>None of these WWTPs</t>
  </si>
  <si>
    <t>Table 3: Indirect N2O Emissions From Wastewater Effluent (GPC Equation 8.11) for Communities Served by MWRA WWTP</t>
  </si>
  <si>
    <t xml:space="preserve">For communities served by either an MWRA wastewater treatment plant (Clinton, Deer Island, Greater Lawrence, Pittsfield, Rockland) indirect nitrous oxide emissions from wastewater effluent were calculated using GPC Equation 8.11. For these MWRA facilities, no methane is released from the treatment process. Methane is captured and diverted to co-generation systems where it is used to heat buildings and generate electricity via steam turbine generators.  Emissions generated as a result of methane capture and co-generation occurring outside of a city's boundary are considered Scope 3 emissions.  According to the GPC, wastewater used to generate energy is considered a stationary energy source. Stationary energy sources outside of the city's boundary are not included in the inventory. If a wastewater treatment power plant is located inside the city's boundary, it is accounted for the "Stationary Energy - E. Indus." worksheet. 
For communities not served by an MWRA wastewater treatment plant, indirect nitrous oxide emissions from wastewater effluent and CH4 generation emissions from wastewater treatment were calculated using the methodology outlined in the Massachusetts Department of Environmental Protection (DEP) "Statewide Greenhouse gas Emissions Level: 1990 Baseline and 2020 Business As Usual Projection Update" report. This methodology is in compliance with methodologies recommended by the GPC. Communities are not served by either Deer Island Wastewater Treatment Plant or Lawrence Wastewater Treatment Plant do have some methane emissions associated with wastewater treatment because methane capture and co-generation systems are not in place. 
Some communities are only partially served by an MWRA WWTP. For these communities, the percentage of the total community population served by the MWRA WWTP is used to calculate total wastewater emissions using the MWRA and "non-MWRA" methodologies outlined above. </t>
  </si>
  <si>
    <t>Table 4: Indirect N2O Emissions From Wastewater Effluent and CH4 Generation from Wastewater Treatment for Communities Not Served by MWRA WWTP</t>
  </si>
  <si>
    <t xml:space="preserve">The above analysis follows the approach used by the Massachusetts Department of Environmental Protection (DEP) to estimate wastewater treatment emissions for communities in Massachusetts that are not served by an MWRA WWTP in the "Statewide Greenhouse gas Emissions Level: 1990 Baseline and 2020 Business As Usual Projection Update" report. </t>
  </si>
  <si>
    <t>YYYY Total Emissions (MT CO2e)</t>
  </si>
  <si>
    <t xml:space="preserve"> YYYY Total Emissions (MT CO2e)</t>
  </si>
  <si>
    <t>2017Total Emissions (MT CO2e)</t>
  </si>
  <si>
    <t>2017 Total Emissions (MT CO2e)</t>
  </si>
  <si>
    <t>All Emissions: Multi-Year Comparison</t>
  </si>
  <si>
    <t>Multiple</t>
  </si>
  <si>
    <t>Percent Change from YYYY --&gt; YYYY</t>
  </si>
  <si>
    <t>This worksheet provides an overall summary of emissions from the three main GPC sectors - Stationary Energy, Transportation, and Waste - based on the information calculated for the sector specific emissions summaries. The purpose of this worksheet is to provide a multi-year comparison across multiple inventory years. Communities should copy/paste values from inventory year not covered in this inventory tool into the below tables in order to track emissions trends over time. For example, if this version of the tool covers inventory year 2017, but the community has also used a separate version of the tool to calculate 2015 emissions, 2015 emissions can be copy/pasted into the below table.</t>
  </si>
  <si>
    <t>Total Natural Gas Consumption (therms / Year)</t>
  </si>
  <si>
    <t>Construction Total</t>
  </si>
  <si>
    <r>
      <rPr>
        <b/>
        <u/>
        <sz val="10"/>
        <rFont val="Arial"/>
        <family val="2"/>
      </rPr>
      <t>Mandatory Question Instructions Part 2:</t>
    </r>
    <r>
      <rPr>
        <sz val="10"/>
        <rFont val="Arial"/>
        <family val="2"/>
      </rPr>
      <t xml:space="preserve"> 
Use the hyperlink to the right to access ACS data for Housing Tenure by Fuel Type on MAPC's Data Common
1) Select the applicable five year estimate range (for 2017, this is 2013-2017).
2) Click the "CSV" button in the top right of the display to download the data, or simply view in the browser.
3) Navigate to the appropriate row of data for your municipality. Enter the value for "% of households heated by Oil" below.</t>
    </r>
  </si>
  <si>
    <t>MAPC Data Common Housing by Units</t>
  </si>
  <si>
    <t>MAPC Data Common Housing by Fuel Type</t>
  </si>
  <si>
    <r>
      <rPr>
        <b/>
        <u/>
        <sz val="10"/>
        <rFont val="Arial"/>
        <family val="2"/>
      </rPr>
      <t>Mandatory Question Instructions:</t>
    </r>
    <r>
      <rPr>
        <sz val="10"/>
        <rFont val="Arial"/>
        <family val="2"/>
      </rPr>
      <t xml:space="preserve"> 
Use the hyperlink to the right to access the Massachusetts Vehicle Census on MAPC's Data Common. 
1) Select the applicable year (the most recent year available is 2014).
2) Click the "CSV" button in the top right of the display to download the data, or simply view in the browser.
3) Navigate to the appropriate row of data for your municipality. Enter the values called for below for both passenger and commercial vehicles.</t>
    </r>
  </si>
  <si>
    <r>
      <rPr>
        <b/>
        <u/>
        <sz val="10"/>
        <rFont val="Arial"/>
        <family val="2"/>
      </rPr>
      <t>Mandatory Question Instructions:</t>
    </r>
    <r>
      <rPr>
        <sz val="10"/>
        <rFont val="Arial"/>
        <family val="2"/>
      </rPr>
      <t xml:space="preserve"> 
Use the hyperlink to the right to access MBTA Route Distance data on MAPC's Data Common. 
1) Select the applicable year (the most recent year available is 2017).
2) Click the "CSV" button in the top right of the display to download the data, or simply view in the browser.
3) Navigate to the appropriate row of data for your municipality. Enter the values called for below for each Railway Type serving your municipality.</t>
    </r>
  </si>
  <si>
    <r>
      <rPr>
        <b/>
        <u/>
        <sz val="10"/>
        <rFont val="Arial"/>
        <family val="2"/>
      </rPr>
      <t>Optional Question Instructions:</t>
    </r>
    <r>
      <rPr>
        <b/>
        <sz val="10"/>
        <rFont val="Arial"/>
        <family val="2"/>
      </rPr>
      <t xml:space="preserve"> </t>
    </r>
    <r>
      <rPr>
        <sz val="10"/>
        <rFont val="Arial"/>
        <family val="2"/>
      </rPr>
      <t xml:space="preserve">
1) </t>
    </r>
    <r>
      <rPr>
        <b/>
        <sz val="10"/>
        <rFont val="Arial"/>
        <family val="2"/>
      </rPr>
      <t xml:space="preserve">If you </t>
    </r>
    <r>
      <rPr>
        <b/>
        <u/>
        <sz val="10"/>
        <rFont val="Arial"/>
        <family val="2"/>
      </rPr>
      <t>do</t>
    </r>
    <r>
      <rPr>
        <b/>
        <sz val="10"/>
        <rFont val="Arial"/>
        <family val="2"/>
      </rPr>
      <t xml:space="preserve"> have community choice aggregation</t>
    </r>
    <r>
      <rPr>
        <sz val="10"/>
        <rFont val="Arial"/>
        <family val="2"/>
      </rPr>
      <t xml:space="preserve"> in your community, contact your community choice aggregation or retail electricity provider to obtain data on the annual electricity consumption for 2017 by rate (e.g. "Traditional", "5% Green", "50% Green", "100% Green") and by sector (e.g. "Residential" and "Commercial &amp; Industrial"). The number of rates will vary from community to community. For example, some communities will have three residential rates while others will have four residential rates. If, for example, your community only has three residential rates, in the "Residential Rate 4" row select "No" in the "Include This Rate in Calculations?" column. For each rate, you will also need to obtain information from your community choice aggregation or retail provider on the percent of "Class I Voluntary RECs" associated with each rate. Enter the appropriate data in the table below.
2) </t>
    </r>
    <r>
      <rPr>
        <b/>
        <sz val="10"/>
        <rFont val="Arial"/>
        <family val="2"/>
      </rPr>
      <t xml:space="preserve">If you </t>
    </r>
    <r>
      <rPr>
        <b/>
        <u/>
        <sz val="10"/>
        <rFont val="Arial"/>
        <family val="2"/>
      </rPr>
      <t>do not</t>
    </r>
    <r>
      <rPr>
        <b/>
        <sz val="10"/>
        <rFont val="Arial"/>
        <family val="2"/>
      </rPr>
      <t xml:space="preserve"> have community choice aggregation</t>
    </r>
    <r>
      <rPr>
        <sz val="10"/>
        <rFont val="Arial"/>
        <family val="2"/>
      </rPr>
      <t xml:space="preserve"> in your community, skip this table. </t>
    </r>
  </si>
  <si>
    <t>Table 2. Energy Industries Emissions by Facility in Massachusetts</t>
  </si>
  <si>
    <t>Table 7: Enery Industries Emissions - For Informational Purposes Only</t>
  </si>
  <si>
    <t>Table 8: Total Community-wide Emissions by Subsector</t>
  </si>
  <si>
    <t>Table 3: Community-wide Emissions Summary by Sector, Subsector, &amp; Scope: YYYY - YYYY</t>
  </si>
  <si>
    <t>Stationary Energy: Community-wide Energy &amp; Emissions Summary</t>
  </si>
  <si>
    <t>Stationary Energy: Community-wide Building Energy &amp; Emissions</t>
  </si>
  <si>
    <t>Stationary Energy: Community-wide Off-road Energy &amp; Emissions</t>
  </si>
  <si>
    <t>Transportation: Community-wide Energy &amp; Emissions Summary</t>
  </si>
  <si>
    <t>Transportation: Community-wide On-road Energy &amp; Emissions</t>
  </si>
  <si>
    <t>Summary: Community-wide Waste Emissions</t>
  </si>
  <si>
    <t>Waste: Community-wide Solid Waste Disposal</t>
  </si>
  <si>
    <t>Waste: Community-wide Biological Treatment of Solid Waste</t>
  </si>
  <si>
    <t>Waste: Community-wide Incineration and Open Burning</t>
  </si>
  <si>
    <t>Waste: Community-wide Wastewater Treated &amp; Emissions</t>
  </si>
  <si>
    <t>Data Input</t>
  </si>
  <si>
    <t>Municipal Operations</t>
  </si>
  <si>
    <t>MassEnergyInsight Data</t>
  </si>
  <si>
    <t>Links to Input Tables:</t>
  </si>
  <si>
    <t>Service Provider:</t>
  </si>
  <si>
    <t>IOU</t>
  </si>
  <si>
    <t>CCA</t>
  </si>
  <si>
    <t>Municipal</t>
  </si>
  <si>
    <t>Overall Emission Factor (MT of CO2e/kWh)</t>
  </si>
  <si>
    <t>Number of Fleet Vehicles by Fuel Type</t>
  </si>
  <si>
    <t>Emission Factors &amp; Conversion Factors*</t>
  </si>
  <si>
    <t>*Emissions factors need to be checked annually to confirm conformance with latest standards</t>
  </si>
  <si>
    <t>Emission Factors - All</t>
  </si>
  <si>
    <t>Stationary Energy - Buildings</t>
  </si>
  <si>
    <t>Transportation - On Road</t>
  </si>
  <si>
    <t>Waste - Wastewater</t>
  </si>
  <si>
    <t xml:space="preserve">**List of WWTPs with Methane Capture </t>
  </si>
  <si>
    <t>Tab</t>
  </si>
  <si>
    <t>Table</t>
  </si>
  <si>
    <t>Table 4: Indirect N2O Emissions From Wastewater Effluent and CH4 Generation from Wastewater Treatment for Communities Not Served by MWRA WWTP**</t>
  </si>
  <si>
    <t>Tables of supporting data to review and update for inventory years other than 2017</t>
  </si>
  <si>
    <t>Table 1: Community-wide Emissions Summary by Sector &amp; Scope: YYYY - YYYY</t>
  </si>
  <si>
    <t>Table 2: Municipal Operations Emissions Summary by Sector &amp; Scope: YYYY - YYYY</t>
  </si>
  <si>
    <t>Annual Heating Oil Consumption (Gallons / Year)</t>
  </si>
  <si>
    <t>Fuel Used by Fuel Type (gallons)</t>
  </si>
  <si>
    <t>MSW</t>
  </si>
  <si>
    <t>IOU options</t>
  </si>
  <si>
    <t>Muni Utilities</t>
  </si>
  <si>
    <t>Town</t>
  </si>
  <si>
    <t>WWTP options</t>
  </si>
  <si>
    <t>Electricity provider</t>
  </si>
  <si>
    <t>Electricity Emissions</t>
  </si>
  <si>
    <t>Y/N</t>
  </si>
  <si>
    <t>Scope 1 Emissions (MT CO2e)*</t>
  </si>
  <si>
    <t xml:space="preserve"> Scope 2 Emissions (MT CO2e)**</t>
  </si>
  <si>
    <t xml:space="preserve"> Scope 3 Emissions (MT CO2e)***</t>
  </si>
  <si>
    <t>** Emissions from municipal electricity consumption</t>
  </si>
  <si>
    <t>*** Emissions from electricity transmission and distribution system losses</t>
  </si>
  <si>
    <t>* Combustion of fuels (natural gas, fuel oil, gasolene or diesel) within the municipal boundary as well as fugitive emissions from natural gas distribution</t>
  </si>
  <si>
    <r>
      <rPr>
        <b/>
        <u/>
        <sz val="10"/>
        <rFont val="Arial"/>
        <family val="2"/>
      </rPr>
      <t>Optional Question Instructions:</t>
    </r>
    <r>
      <rPr>
        <sz val="10"/>
        <rFont val="Arial"/>
        <family val="2"/>
      </rPr>
      <t xml:space="preserve"> 
1) </t>
    </r>
    <r>
      <rPr>
        <b/>
        <sz val="10"/>
        <rFont val="Arial"/>
        <family val="2"/>
      </rPr>
      <t>If your community's electricity is provided by both Eversource &amp; NGRID</t>
    </r>
    <r>
      <rPr>
        <sz val="10"/>
        <rFont val="Arial"/>
        <family val="2"/>
      </rPr>
      <t xml:space="preserve">, please indicate below the estimated percentage of electricity that is provided by each investor-owned utility. Total must add up to 100%. This information will be used to estimate the utility-specific weighted electricity emission factor. 
2) </t>
    </r>
    <r>
      <rPr>
        <b/>
        <sz val="10"/>
        <rFont val="Arial"/>
        <family val="2"/>
      </rPr>
      <t>If your community's electricity is provided by only one investor-owned utility (either Eversource or NGRID) or is served by a municipal utility</t>
    </r>
    <r>
      <rPr>
        <sz val="10"/>
        <rFont val="Arial"/>
        <family val="2"/>
      </rPr>
      <t xml:space="preserve">, skip this table. </t>
    </r>
  </si>
  <si>
    <t>Table 5: Community-wide Emissions Summary by Sector, Subsector, Source, Scope &amp; Gas</t>
  </si>
  <si>
    <t>Table 4: Community-wide Emissions Summary by Sector, Subsector, Source &amp; Scope</t>
  </si>
  <si>
    <t>Table 3: Community-wide Emissions Summary by Sector, Subsector, &amp; Scope</t>
  </si>
  <si>
    <t>Table 2: Municipal Operations Emissions Summary</t>
  </si>
  <si>
    <t>Table 1: Community-wide Emissions Summary by Sector &amp; Scope</t>
  </si>
  <si>
    <t>Table 6: Community-wide Summary of Building Energy Use by Sector and  Source</t>
  </si>
  <si>
    <t xml:space="preserve">County Off-Road Transportation Emissions </t>
  </si>
  <si>
    <t>County Data</t>
  </si>
  <si>
    <t>City/Town Data</t>
  </si>
  <si>
    <t>Est. Annual Loss Rates from Natural Gas from Transmission, Distribution and End Use (%)</t>
  </si>
  <si>
    <t xml:space="preserve">Estimated natural gas loss rates from "Methane emissions from natural gas infrastructure and use in the urban region of Boston, Massachusetts" study by McKain et al., 2014. 2.7% is the average fractional loss rate to the atmosphere from all downstream components for the natural gas system, including transmission, distribution, and end use. 
</t>
  </si>
  <si>
    <t>% of Community Served by Utility</t>
  </si>
  <si>
    <t>Investor Owned Utility Electricity Service Coverage</t>
  </si>
  <si>
    <r>
      <rPr>
        <b/>
        <u/>
        <sz val="10"/>
        <rFont val="Arial"/>
        <family val="2"/>
      </rPr>
      <t>Mandatory Question Instructions:</t>
    </r>
    <r>
      <rPr>
        <sz val="10"/>
        <rFont val="Arial"/>
        <family val="2"/>
      </rPr>
      <t xml:space="preserve"> 
Use the hyperlink to the right to access the "MassSaveData" website. Click on the "Geographic" button in the top right and select "Usage By Month." Use the drop-downs in the top left to select "Electricity" or "Gas" and the appropriate year (2017). Find your community and enter the "Annual" total on the far right for both the "Residential" and "Commercial &amp; Industrial" sectors in the table below. If your community obtains electricity and/or gas through a municipal utility, do not enter that consumption data in this table. See below table for municipal utilities. </t>
    </r>
  </si>
  <si>
    <t>MassSaveData Source</t>
  </si>
  <si>
    <t>MassSave Electricity and Natural Gas Consumption Data</t>
  </si>
  <si>
    <t>MassEnergyInsight Municipal Electricity and Natural Gas Consumption Data</t>
  </si>
  <si>
    <t>HEATING OIL</t>
  </si>
  <si>
    <t>Square Feet of Developed Open Space</t>
  </si>
  <si>
    <t>Square Feet of Commercial Development Under Construction</t>
  </si>
  <si>
    <t>OFF ROAD</t>
  </si>
  <si>
    <t>ELECTRICITY AND NATURAL GAS</t>
  </si>
  <si>
    <t xml:space="preserve">MassEnergyInsight Municipal Vehicle Fuel Consumption Data </t>
  </si>
  <si>
    <r>
      <rPr>
        <b/>
        <u/>
        <sz val="10"/>
        <rFont val="Arial"/>
        <family val="2"/>
      </rPr>
      <t>Optional Question Instructions:</t>
    </r>
    <r>
      <rPr>
        <sz val="10"/>
        <rFont val="Arial"/>
        <family val="2"/>
      </rPr>
      <t xml:space="preserve"> 
Cities should account for fuel consumption occurring within their city boundary from Regional Transit Authority (RTA) buses. However, this data may not always be consistently available. Data must be independly collected by cities in order to estimate RTA emissions and may require some additional calculations outside of the Tool. Communities will need to discuss with RTAs the best methodology for estimating fuel consumption associated with bus lines going through an individual community. RTAs may be able to provide a direct estimate of fuel consumption occurring within a city boundary or they may be able to provide information on route distance travelled in the city, total route distance travelled by the RTA and total fuel consumption associated with the RTA. This information can be used to separately estimate total RTA fuel consumption attributable to a single community as an optional input into the table below.  </t>
    </r>
  </si>
  <si>
    <t>Mass of Solid Waste Disposed by Landfill and Incineration - Short Tons</t>
  </si>
  <si>
    <t>Mass of Solid Waste Disposed by Composting and Anaerobic Digestion - Short Tons</t>
  </si>
  <si>
    <t>County in which your community located:</t>
  </si>
  <si>
    <t>County</t>
  </si>
  <si>
    <t>Berkshire</t>
  </si>
  <si>
    <t>Bristol</t>
  </si>
  <si>
    <t>Dukes</t>
  </si>
  <si>
    <t>Hampshire</t>
  </si>
  <si>
    <t>Middlesex</t>
  </si>
  <si>
    <t>Suffolk</t>
  </si>
  <si>
    <t>CO2 Emissions (lbs)</t>
  </si>
  <si>
    <t>CH4 Emissions (lbs)</t>
  </si>
  <si>
    <t>(optional)</t>
  </si>
  <si>
    <t>Mattapan Trolley</t>
  </si>
  <si>
    <t>*Input by MAPC</t>
  </si>
  <si>
    <t>Please enter community-specific data below using the instructions provided. Green cells must be updated for the tool to function properly. Blue cells are not applicable to all communities or data may be input by others (i.e. MAPC).</t>
  </si>
  <si>
    <t>MT CH4/MMBTU</t>
  </si>
  <si>
    <t>MT N2O/MMBTU</t>
  </si>
  <si>
    <t>MT CH4/Therm</t>
  </si>
  <si>
    <t>MT N2O/Therm</t>
  </si>
  <si>
    <t>Natural Gas*</t>
  </si>
  <si>
    <t>*CCAR and TCR do not include CH4 or N2O in emissions from natural gas because these emissions are considered to be de minimis</t>
  </si>
  <si>
    <t>Municipal Utility/Not served by IOU</t>
  </si>
  <si>
    <t>Gasoline Energy Use &amp; Emissions</t>
  </si>
  <si>
    <t>City/Town Annual Gasoline Consumption (gal/year)</t>
  </si>
  <si>
    <t>Gasoline CH4 Emissions 
(MT CH4)</t>
  </si>
  <si>
    <t>Gasoline CO2 Emissions 
(MT CO2)</t>
  </si>
  <si>
    <t>Gasoline N2O Emissions 
(MT N2O)</t>
  </si>
  <si>
    <t>Waste - Solid Waste</t>
  </si>
  <si>
    <t>MAPC Community Greenhouse Gas Inventory Tool</t>
  </si>
  <si>
    <t>Adjusting the Inventory Year</t>
  </si>
  <si>
    <t>MAPC Data Common - Estimated Landscaped Area</t>
  </si>
  <si>
    <t>MAPC DataCommon - MA Vehicle Census Summary Statistics</t>
  </si>
  <si>
    <t>MAPC DataCommon - MBTA Frequency Weighted Trip Miles</t>
  </si>
  <si>
    <t>MAPC DataCommon - Frequency Weighted Trip Miles</t>
  </si>
  <si>
    <t>MAPC DataCommon - MOVES Off-Road Estimates</t>
  </si>
  <si>
    <t>MA DEP 2017 Summary Report</t>
  </si>
  <si>
    <t>Hull Municipal Lighting Plant</t>
  </si>
  <si>
    <t>Reading Municipal Light Dept.</t>
  </si>
  <si>
    <t>Taunton Municipal Lighting Plant</t>
  </si>
  <si>
    <t>Retail electricity providers and IOUs can voluntarily report the percent of sales reported as "non-emitting MWh" to DEP. This data for reporting municipal utilities is from "MassDEP GHG Reporting Program Summary Report For Retail Sellers of Electricity Emissions Year 2017" Appendix 2, Table 5  "Individual 2017 Retail Seller Emission Factors".</t>
  </si>
  <si>
    <r>
      <t xml:space="preserve">Retail electricity providers and IOUs can voluntarily report the percent of sales reported as "non-emitting MWh" to DEP. For Eversource and NGRID, this data comes from "MassDEP GHG Reporting Program Summary Report For Retail Sellers of Electricity Emissions Year 2017" Appendix 2, Table 5  "Individual 2017 Retail Seller Emission Factors". </t>
    </r>
    <r>
      <rPr>
        <sz val="9"/>
        <rFont val="Arial"/>
        <family val="2"/>
      </rPr>
      <t xml:space="preserve">The "Eversource &amp; NGRID" data in the above table represents a weighted average between the two utilities based on the percent of electricity provided by each utility in a given community. This information is only applicable to communities in which electricity is provided by both Eversource &amp; NGRID. </t>
    </r>
  </si>
  <si>
    <t>MA RPS Information</t>
  </si>
  <si>
    <r>
      <rPr>
        <b/>
        <u/>
        <sz val="10"/>
        <rFont val="Arial"/>
        <family val="2"/>
      </rPr>
      <t>Mandatory Question Instructions:</t>
    </r>
    <r>
      <rPr>
        <sz val="10"/>
        <rFont val="Arial"/>
        <family val="2"/>
      </rPr>
      <t xml:space="preserve"> 
Use the hyperlink to the right to access the Massachusetts Executive office of Labor and Workforce Development (EOLWD) Employment and Wages (ES-202) data. 
1) "Select Area Type" drop-down: Select "City or Town"
2) "Select Specific Geogrpahic Area" drop-down: Select your community
3) "Select a Year" drop-down: Select your inventory year
4) "Select the Time Period" drop-down: Select "Annual Report"
5) "Select the Ownership" drop-down: Select "All ownership types"
6) "Select an Industry or Industry Sector" drop-down: Select "Total, All Industries"
7) "Select the Category" option: Select "Category and all sub-categories"
8) Select the link to "Download and save the data as a Comma Separated Value (CSV) File". Open the CSV. 
9) Sort Column A ("NAICS") to "Sort smallest to largest"
10) </t>
    </r>
    <r>
      <rPr>
        <u/>
        <sz val="10"/>
        <rFont val="Arial"/>
        <family val="2"/>
      </rPr>
      <t>Only include data that has a 3-digit NAICS code</t>
    </r>
    <r>
      <rPr>
        <sz val="10"/>
        <rFont val="Arial"/>
        <family val="2"/>
      </rPr>
      <t xml:space="preserve"> in column A. Take data from Column A ("NAICS"), Column C ("No. of Establishments") and column Q ("Average Monthly Employment") for all rows of data with a 3-digit NAICS code and paste it in the table below. 
The number of NAICS codes in each community will vary considerably. It is very likely that the below table will have blank rows after it is populated with your community's data. 
</t>
    </r>
  </si>
  <si>
    <t>Update Emissions Factors</t>
  </si>
  <si>
    <t>Non-Biogenic Retail Level Electricity Emission Factor (lbs CO2e/MWh)</t>
  </si>
  <si>
    <t>MassDEP Reported Emissions Factors</t>
  </si>
  <si>
    <t>Inputs for Emissions Factors - Table 3</t>
  </si>
  <si>
    <t xml:space="preserve"> Combined Retail Level Electricity Emission Factor (lbs CO2e/MWh)</t>
  </si>
  <si>
    <t>Inputs for Emissions Factors - Table 6 and Table 9</t>
  </si>
  <si>
    <t>Update Stationary Energy Defaults</t>
  </si>
  <si>
    <t>US EIA MA Electricity Profile</t>
  </si>
  <si>
    <t>Inputs for Stationary Energy - Buildings - Table 7</t>
  </si>
  <si>
    <t>Update Transportation Defaults</t>
  </si>
  <si>
    <t>Update Waste Defaults</t>
  </si>
  <si>
    <t>Investor-owned Utility / Municipal Utility</t>
  </si>
  <si>
    <t>MassDEP Solid Waste Data Updates</t>
  </si>
  <si>
    <t>US GHG Inventory of Emissions and Sinks</t>
  </si>
  <si>
    <t>kg/person/year</t>
  </si>
  <si>
    <t>Annual Per Capita Protein Consumption</t>
  </si>
  <si>
    <t>Inputs for Waste - Wastewater - Table 3</t>
  </si>
  <si>
    <t>Inputs for Waste - Solid Waste - Table 3</t>
  </si>
  <si>
    <t>Fuel Economy</t>
  </si>
  <si>
    <t>Inputs for Transportation - Onroad - Table 6</t>
  </si>
  <si>
    <t>MassDEP GHG Report</t>
  </si>
  <si>
    <t>Inputs for Waste - Wastewater - Table 4</t>
  </si>
  <si>
    <r>
      <rPr>
        <b/>
        <u/>
        <sz val="10"/>
        <rFont val="Arial"/>
        <family val="2"/>
      </rPr>
      <t>Mandatory Question Instructions:</t>
    </r>
    <r>
      <rPr>
        <sz val="10"/>
        <rFont val="Arial"/>
        <family val="2"/>
      </rPr>
      <t xml:space="preserve"> 
Use the hyperlink to the right to access MBTA Route Distance data on MAPC's Data Common. 
1) Select the applicable year (the most recent year available is 2017).
2) Click the "CSV" button in the top right of the display to download the data, or simply view in the browser.
3) Navigate to the appropriate row of data for your municipality. Enter the values called for below for each On-Road Public Transit Type serving your municipality.</t>
    </r>
  </si>
  <si>
    <t>Line Annual CNG Consumption (MMBTU/year)</t>
  </si>
  <si>
    <t>Line Annual Electricity Consumption (MWh/year)*</t>
  </si>
  <si>
    <t>Line Annual Diesel Consumption (gallons/year)*</t>
  </si>
  <si>
    <t xml:space="preserve">Average Daily Vehicle Miles Travelled (DVMT): 
Vehicles With Known Fuel Type </t>
  </si>
  <si>
    <t>Average Fuel Economy (MPG): Vehicles with Know Fuel Type</t>
  </si>
  <si>
    <t>Vehicles Registered in Town/City: With Valid Mileage Estimate and Fuel Economy</t>
  </si>
  <si>
    <t>Private On-road Passenger Vehicles Registration, VMT, and Fuel Economy Data</t>
  </si>
  <si>
    <t>Private On-road Commercial Vehicles Registration, VMT, and Fuel Economy Data</t>
  </si>
  <si>
    <r>
      <rPr>
        <b/>
        <u/>
        <sz val="10"/>
        <rFont val="Arial"/>
        <family val="2"/>
      </rPr>
      <t>Mandatory Question Instructions Part 3:</t>
    </r>
    <r>
      <rPr>
        <sz val="10"/>
        <rFont val="Arial"/>
        <family val="2"/>
      </rPr>
      <t xml:space="preserve"> 
Use the hyperlink to the right to access estimated landscaped area square footage data on MAPC's DataCommon. 
1) Select the applicable year (the most recent year available is 2017).
2) Click the "CSV" button in the top right of the display to download the data, or simply view in the browser.
3) Navigate to the appropriate row of data for your municipality. Enter the values for developed open space at the county and municipal level.</t>
    </r>
  </si>
  <si>
    <r>
      <rPr>
        <b/>
        <u/>
        <sz val="10"/>
        <rFont val="Arial"/>
        <family val="2"/>
      </rPr>
      <t xml:space="preserve">Mandatory Question Instructions:
</t>
    </r>
    <r>
      <rPr>
        <sz val="10"/>
        <rFont val="Arial"/>
        <family val="2"/>
      </rPr>
      <t xml:space="preserve">Use the hyperlink to the right to access the MOVES emissions data on MAPC's Data Common. 
1) Select the applicable year (the most recent year available is 2017).
2) Click the "CSV" button in the top right of the display to download the data, or simply view in the browser.
3) Navigate to the appropriate rows of data for your county. Enter the CO2 and CH4 emissions for your county below.
</t>
    </r>
  </si>
  <si>
    <t>Emissions Source</t>
  </si>
  <si>
    <t>Lawn / Garden</t>
  </si>
  <si>
    <t xml:space="preserve">Commercial </t>
  </si>
  <si>
    <t>2017 Combined Retail Level Electricity Emission Factor (lbs CO2e/MWh)</t>
  </si>
  <si>
    <r>
      <rPr>
        <b/>
        <u/>
        <sz val="10"/>
        <rFont val="Arial"/>
        <family val="2"/>
      </rPr>
      <t>Instructions:</t>
    </r>
    <r>
      <rPr>
        <sz val="10"/>
        <rFont val="Arial"/>
        <family val="2"/>
      </rPr>
      <t xml:space="preserve"> 
In order to update the electricity emissions factors calculations, go to the MassDEP link provided and access the final GHG Reporting Program Summary Report for Retail Sellers of Electricty for the inventory year. 
1) Navigate to Appendix 2 and input the values from "Table 5: Individual Retail Seller Emissions Factors" for the % of sales reported as non-emitting MWh for each Electric Utility and Municipal Electric Department listed below. </t>
    </r>
  </si>
  <si>
    <r>
      <rPr>
        <b/>
        <u/>
        <sz val="10"/>
        <rFont val="Arial"/>
        <family val="2"/>
      </rPr>
      <t>Instructions:</t>
    </r>
    <r>
      <rPr>
        <sz val="10"/>
        <rFont val="Arial"/>
        <family val="2"/>
      </rPr>
      <t xml:space="preserve"> 
A Massachusetts-specific electricity transmission and distribution grid loss factor was calculated per U.S. Energy Information Administration instructions. To adjust your inventory year, you will need to collect the data below from U.S. EIA's electricity profile for Massachusetts using the link provided. 
1) Select your inventory year from the drop down menu located in the top right of the webpage. 
2) Scroll to the bottom of the page and click the link "Full data tables 1-14" 
3) Download the Excel spreadsheet to access all of the data tables for Massachusetts. 
4) Navigate in the spreadsheet to "Table 10: Supply and Disposition of Electricity" and input the values for the fields below associated with the inventory year.</t>
    </r>
  </si>
  <si>
    <t>Landfilled - Municipal Solid Waste (MSW)</t>
  </si>
  <si>
    <t>Landfilled - Construction &amp; Demolition Waste (C&amp;D)</t>
  </si>
  <si>
    <t>Landfilled - Other Waste</t>
  </si>
  <si>
    <t>Combusted - Municipal Solid Waste (MSW)</t>
  </si>
  <si>
    <t>Combused - Non-Municipal Solid Waste (MSW)</t>
  </si>
  <si>
    <r>
      <rPr>
        <b/>
        <u/>
        <sz val="10"/>
        <rFont val="Arial"/>
        <family val="2"/>
      </rPr>
      <t>Instructions:</t>
    </r>
    <r>
      <rPr>
        <sz val="10"/>
        <rFont val="Arial"/>
        <family val="2"/>
      </rPr>
      <t xml:space="preserve"> 
This Tool assumes default State-level percent of disposed waste sent to landfill and combusted unless local data is entered on the "Inputs" tab of this workbook. To adjust your inventory year, use the link provided to access MassDEP's Solid Waste Data update for the appropriate year.
1) Navigate the report to "Table 2: Solid Waste Tonnage and Percent Change Summary". Input the mass of statewide waste reported in the inventory year by waste type and disposal method.</t>
    </r>
  </si>
  <si>
    <t xml:space="preserve">In order to determine the utility-specific and CCA-specific emission factors, Table 1 from the MassDEP GHG Reporting Program Summary report for Retail Sellers of Electricity Emissions 2017 (Nov. 2019) was referenced. Per guidance from DEP, and in accordance with the State's GHG inventory, the "Massachusetts-based approach" non-biogenic electricity emissions factor after accounting for particular generating units of 580 lbs CO2e/MWh from Table 1 was used as the base assumption. The Massachusetts-based consumer retail level combined electricity factors for CO2, CH4, and N2O from Appendix 3, Table 7, are used to estimate the breakdown of different gases from the CO2e value provided in Table 1. </t>
  </si>
  <si>
    <t>Eversource NSTAR (Eastern MA)</t>
  </si>
  <si>
    <t>Eversource WMECO (Western MA)</t>
  </si>
  <si>
    <t>Eversource NSTAR (Eastern MA) &amp; NGRID</t>
  </si>
  <si>
    <t>Eversource WMECO (Western MA) &amp; NGRID</t>
  </si>
  <si>
    <t>Eversource (Eastern or Western)</t>
  </si>
  <si>
    <t>Eversource/NSTAR</t>
  </si>
  <si>
    <t>Eversource/WMECO</t>
  </si>
  <si>
    <t>In order to determine the utility-specific and CCA-specific emission factors, Table 1 from the MassDEP GHG Reporting Program Summary report for Retail Sellers of Electricity Emissions 2017 (Nov. 2019) was referenced. Per guidance from DEP, and in accordance with the State's GHG inventory, the "Massachusetts-based approach" non-biogenic electricity emissions factor after accounting for particular generating units of 580 lbs CO2e/MWh from Table 1 was used as the base assumption. See Table 3 above for more details.</t>
  </si>
  <si>
    <r>
      <t xml:space="preserve">In order to determine the utility-specific and CCA-specific emission factors, Table 1 from the MassDEP GHG Reportig Program Summary report for Retail Sellers of Electricity Emissions 2017 (Nov. 2019) was referenced. Per guidance from DEP, and in accordance with the State's GHG inventory, the "Massachusetts-based approach" non-biogenic electricity emissions factor after accounting for particular generating units of 580 lbs CO2e/MWh from Table 1 was used as the base assumption. See </t>
    </r>
    <r>
      <rPr>
        <u/>
        <sz val="9"/>
        <rFont val="Arial"/>
        <family val="2"/>
      </rPr>
      <t xml:space="preserve">Table 3 </t>
    </r>
    <r>
      <rPr>
        <sz val="9"/>
        <rFont val="Arial"/>
        <family val="2"/>
      </rPr>
      <t xml:space="preserve">above for more details. </t>
    </r>
  </si>
  <si>
    <t>Municipal Buildings</t>
  </si>
  <si>
    <t>Commercial &amp; Institutional Buildings and Facilities + Manufacturing Industries*</t>
  </si>
  <si>
    <r>
      <rPr>
        <b/>
        <u/>
        <sz val="10"/>
        <rFont val="Arial"/>
        <family val="2"/>
      </rPr>
      <t>Mandatory Question Instructions:</t>
    </r>
    <r>
      <rPr>
        <b/>
        <sz val="10"/>
        <rFont val="Arial"/>
        <family val="2"/>
      </rPr>
      <t xml:space="preserve"> </t>
    </r>
    <r>
      <rPr>
        <sz val="10"/>
        <rFont val="Arial"/>
        <family val="2"/>
      </rPr>
      <t xml:space="preserve">
1) </t>
    </r>
    <r>
      <rPr>
        <b/>
        <sz val="10"/>
        <rFont val="Arial"/>
        <family val="2"/>
      </rPr>
      <t>If your electricity or gas is provided by a municipal utility</t>
    </r>
    <r>
      <rPr>
        <sz val="10"/>
        <rFont val="Arial"/>
        <family val="2"/>
      </rPr>
      <t xml:space="preserve">, contact your municipal utility to obtain data on the annual electricity consumption and/or natural gas consumption for 2017 by sector (e.g. "Residential" and "Commercial &amp; Industrial"). Enter the appropriate data in the table below.
2) </t>
    </r>
    <r>
      <rPr>
        <b/>
        <sz val="10"/>
        <rFont val="Arial"/>
        <family val="2"/>
      </rPr>
      <t xml:space="preserve">If you </t>
    </r>
    <r>
      <rPr>
        <b/>
        <u/>
        <sz val="10"/>
        <rFont val="Arial"/>
        <family val="2"/>
      </rPr>
      <t>do not have</t>
    </r>
    <r>
      <rPr>
        <b/>
        <sz val="10"/>
        <rFont val="Arial"/>
        <family val="2"/>
      </rPr>
      <t xml:space="preserve"> a municipal utility</t>
    </r>
    <r>
      <rPr>
        <sz val="10"/>
        <rFont val="Arial"/>
        <family val="2"/>
      </rPr>
      <t xml:space="preserve"> in your community, skip this table.  </t>
    </r>
  </si>
  <si>
    <r>
      <rPr>
        <b/>
        <u/>
        <sz val="10"/>
        <rFont val="Arial"/>
        <family val="2"/>
      </rPr>
      <t>Optional Question Instructions:</t>
    </r>
    <r>
      <rPr>
        <sz val="10"/>
        <rFont val="Arial"/>
        <family val="2"/>
      </rPr>
      <t xml:space="preserve"> 
Communities may use this table to enter vehicle gasoline and diesel consumption data from MassEnergyInsight. Municipal fleet vehicles are not included in the Massachusetts Vehicle Census, so these are emissions resulting from the combustion of fuel are added to the on-road commercial vehicle totals   
To find usage data by fiscal year in MassEnergyInsight, click 'view reports', and then the tab labeled 'use and cost table'. Note that delivered fuels and vehicle fleet may not align if not monthly entries.</t>
    </r>
  </si>
  <si>
    <r>
      <rPr>
        <b/>
        <u/>
        <sz val="10"/>
        <rFont val="Arial"/>
        <family val="2"/>
      </rPr>
      <t>Optional Question Instructions:</t>
    </r>
    <r>
      <rPr>
        <sz val="10"/>
        <rFont val="Arial"/>
        <family val="2"/>
      </rPr>
      <t xml:space="preserve"> 
Communities may use this table to enter electricity, natural gas, and heating oil consumption data from MassEnergyInsight. Note that the electricity and natural gas consumption data for municipal operations is also included in the MassSaveData. We break them out here so that communities may track emissions from municipal operations separately. The emissions associated with MassEnergyInsight data </t>
    </r>
    <r>
      <rPr>
        <u/>
        <sz val="10"/>
        <rFont val="Arial"/>
        <family val="2"/>
      </rPr>
      <t>do not get added</t>
    </r>
    <r>
      <rPr>
        <sz val="10"/>
        <rFont val="Arial"/>
        <family val="2"/>
      </rPr>
      <t xml:space="preserve"> to MassSaveData for building energy consumption, otherwise they will be double counted.   
To find usage data by fiscal year in MassEnergyInsight, click 'view reports', and then the tab labeled 'use and cost table'. Note that delivered fuels and vehicle fleet may not align if not monthly entries.</t>
    </r>
  </si>
  <si>
    <t>The above energy consumption and emissions data excludes electricity transmission and distribution losses associated with electricity and natural gas. See "Stationary Energy - Summary" worksheet for a detailed breakdown of transmission and distribution losses.</t>
  </si>
  <si>
    <r>
      <rPr>
        <b/>
        <u/>
        <sz val="10"/>
        <rFont val="Arial"/>
        <family val="2"/>
      </rPr>
      <t>Optional Question Instructions:</t>
    </r>
    <r>
      <rPr>
        <sz val="10"/>
        <rFont val="Arial"/>
        <family val="2"/>
      </rPr>
      <t xml:space="preserve"> 
Cities should account for fuel consumption occurring within their city boundary from any municipally operated on-road or trolley buses. This data can be input below if this data is collected by the municipality on annual fuel consumption associated with these bus routes</t>
    </r>
  </si>
  <si>
    <t>Municipally-operated Bus Routes</t>
  </si>
  <si>
    <t>Inputs for Emissions Factors - Table 1</t>
  </si>
  <si>
    <t>EPA Emissions Factors</t>
  </si>
  <si>
    <t>The Climate Registry Emissions Factors</t>
  </si>
  <si>
    <t>kg CO2/SCF</t>
  </si>
  <si>
    <t>Inputs for Emissions Factors - Table 12</t>
  </si>
  <si>
    <t>Inputs for Emissions Factors - Table 11</t>
  </si>
  <si>
    <t>Global Protocol Historic IPCC GWP Values</t>
  </si>
  <si>
    <t>Table 9: Community-wide Emissions Summary by Sector, Subsector, &amp; Scope (with municipal emissions disaggregated)</t>
  </si>
  <si>
    <t>Table 10: Total Community-wide Emissions by Subsector (with municipal emissions disaggregated)</t>
  </si>
  <si>
    <t>C&amp;I Buildings &amp; Manufacturing Industries*</t>
  </si>
  <si>
    <t>*Municipal electricity and natural gas usage has been subtracted from C&amp;I usage to disaggregate municipal usage for the purposes of this Table.</t>
  </si>
  <si>
    <t>Municipal Vehicles</t>
  </si>
  <si>
    <t>On-road Buses and Trolleys</t>
  </si>
  <si>
    <t>CO2e Emissions (MT CO2e)</t>
  </si>
  <si>
    <t>Private Passenger Electric Vehicles</t>
  </si>
  <si>
    <t>Private Commercial Electric Vehicles</t>
  </si>
  <si>
    <t>Table 8: RTA Public Transit and Municipally-operated Public Transit On-road Route Distance, Fuel Consumption &amp; Emissions by Mode</t>
  </si>
  <si>
    <t>Municipally-Operated Bus Routes</t>
  </si>
  <si>
    <t>Table 5a: Municipal On-Road Commercial Vehicles Fuel Consumption and Emissions by Fuel Type</t>
  </si>
  <si>
    <t>The above table assumes that all fuel consumed by "flex-fuel" vehicles is gasoline, as opposed to E-85, due to the lack of E-85 fueling stations in the region. Table includes municipal vehicle fuel use.</t>
  </si>
  <si>
    <t>Emissions from municipal buildings associated with electricity and natural gas are calculated for informational purposes only and are not included in the aggregations in Table 1. This is to avoid double counting with the MassSaveData which includes municipal accounts in its commercial and industrial aggregated consumption data.</t>
  </si>
  <si>
    <t>Table 1a: Municipal Electricity &amp; Natural Gas Consumption and Emissions</t>
  </si>
  <si>
    <t>Electricity CO2e Emissions (MT CO2e)</t>
  </si>
  <si>
    <t>Fuel Oil CO2e Emissions (MT CO2e)</t>
  </si>
  <si>
    <t>Waste (Landfill, Biological Treatment, &amp; Incineration &amp; Open Burning)</t>
  </si>
  <si>
    <t>Public Transportation (Buses, Trolleys, &amp; Railways)</t>
  </si>
  <si>
    <t>*Subsectors have been added together in places to support visualization of the data in "Report Charts"</t>
  </si>
  <si>
    <t xml:space="preserve">Select your city or town from the drop down menu: </t>
  </si>
  <si>
    <r>
      <t xml:space="preserve">Which investor-owned utility or utilities provide(s) electricity in your community? </t>
    </r>
    <r>
      <rPr>
        <i/>
        <sz val="10"/>
        <rFont val="Arial"/>
        <family val="2"/>
      </rPr>
      <t>(Use drop down menu to select)</t>
    </r>
  </si>
  <si>
    <r>
      <t xml:space="preserve">If not served by an investor-owned utility, which municipally-owned utility supplies electricity in your community? </t>
    </r>
    <r>
      <rPr>
        <i/>
        <sz val="10"/>
        <rFont val="Arial"/>
        <family val="2"/>
      </rPr>
      <t>(Use drop down menu to select)</t>
    </r>
  </si>
  <si>
    <r>
      <t xml:space="preserve">Do you know what percent of waste collected in your community (excluding separated organics) is sent to landfill vs. incineration? </t>
    </r>
    <r>
      <rPr>
        <i/>
        <sz val="10"/>
        <rFont val="Arial"/>
        <family val="2"/>
      </rPr>
      <t>(Use drop down menu to select)</t>
    </r>
  </si>
  <si>
    <r>
      <t xml:space="preserve">If your community has curbside organics collection, do you know what percent of collected organic material is sent to a compositing facility vs. an anaerobic digestion facility? </t>
    </r>
    <r>
      <rPr>
        <i/>
        <sz val="10"/>
        <rFont val="Arial"/>
        <family val="2"/>
      </rPr>
      <t>(Use drop down menu to select)</t>
    </r>
  </si>
  <si>
    <r>
      <t>Has your community completed a waste characterization study that you would prefer to use in this inventory instead of the default State waste characterization study?</t>
    </r>
    <r>
      <rPr>
        <i/>
        <sz val="10"/>
        <rFont val="Arial"/>
        <family val="2"/>
      </rPr>
      <t xml:space="preserve"> (Use drop down menu to select)</t>
    </r>
  </si>
  <si>
    <r>
      <t xml:space="preserve">Which wastewater treatment plant does your community send wastewater to? </t>
    </r>
    <r>
      <rPr>
        <i/>
        <sz val="10"/>
        <rFont val="Arial"/>
        <family val="2"/>
      </rPr>
      <t>(Use drop down menu to select)</t>
    </r>
  </si>
  <si>
    <t>If municipal facilities are enrolled in the CCA, which program rate are they are subscribed to?</t>
  </si>
  <si>
    <t>1-unit, detached (u1d)</t>
  </si>
  <si>
    <t>1-unit, attached (u1a)</t>
  </si>
  <si>
    <t>2 units (u2)</t>
  </si>
  <si>
    <t>3 or 4 units (u3_4)</t>
  </si>
  <si>
    <t>5 to 9 units (u5_9)</t>
  </si>
  <si>
    <t>10 to 19 units (u10_19)</t>
  </si>
  <si>
    <t>20 or more units (u20ov)</t>
  </si>
  <si>
    <t>Mobiles homes (mobl)</t>
  </si>
  <si>
    <r>
      <rPr>
        <b/>
        <u/>
        <sz val="10"/>
        <rFont val="Arial"/>
        <family val="2"/>
      </rPr>
      <t>Mandatory Question Instructions Part 1:</t>
    </r>
    <r>
      <rPr>
        <sz val="10"/>
        <rFont val="Arial"/>
        <family val="2"/>
      </rPr>
      <t xml:space="preserve"> 
Use the hyperlink to the right to access ACS data for Housing Tenure by Units in Structure on MAPC's Data Common
1) Select the applicable five year estimate range (for 2017, this is 2013-2017).
2) Click the "CSV" button in the top right of the display to download the data, or simply view in the browser.
3) Navigate to the appropriate row of data for your municipality. Enter the number of households in your community for each "Units in Structure" category below. The applicable meta data field name is provided in parantheses.
</t>
    </r>
  </si>
  <si>
    <t>Kilograms (kg)</t>
  </si>
  <si>
    <t xml:space="preserve">Fuel oil consumption per employer establishment (i.e. building) is from the U.S. Energy Information Administration (EIA) 2012 CBECS Survey Data Table C34: US Commercial Building Fuel Oil Consumption and Expenditures. For some primary building activities (including Food Sales, Food Service, Health Care Outpatient, Mercantile Enclose and Strip Malls) this data was not available. For this building types, data from EIA Table C24: US Commercial Building Natural Gas Consumption and Expenditures was used to estimate fuel oil use in these buildings relative to the office building type. For example, the average Food Sales building uses 37% more natural gas than the average Office building and the above analysis also assumes that the average Food Sales building uses 37% more fuel oil than the average Office building. </t>
  </si>
  <si>
    <t xml:space="preserve">The Percent of buildings in community using fuel oil as heating fuel is from the U.S. Energy Information Administration (EIA) 2012 CBECS Survey Data Table B22. Energy Sources, Number of Buildings, 2012. Data for New England showing that of the 287,000 commercial buildings using any energy source, 115,000 (or 40.07%) of them use heating oil. </t>
  </si>
  <si>
    <r>
      <rPr>
        <b/>
        <u/>
        <sz val="10"/>
        <rFont val="Arial"/>
        <family val="2"/>
      </rPr>
      <t>Instructions:</t>
    </r>
    <r>
      <rPr>
        <sz val="10"/>
        <rFont val="Arial"/>
        <family val="2"/>
      </rPr>
      <t xml:space="preserve"> 
In order to update the electricity emissions factors calculations, go to the MassDEP link provided and access the final GHG Reporting Program Summary Report for Retail Sellers of Electricity for the inventory year. 
1) Download the report and navigate to Table 1: GHG Emission Factors for Electricity Consumed in Massachusetts, prior to and after accounting for particular generating units" and input the value for the Massachusetts-based approach, non-biogenic, after accounting for particular generating units in lbs CO2e/MWh.
2) Within Appendix 3, you will also need to input the values from "Table 7: Electricity Consumers Retail-Level MA-Based CO2e GHG Emissions Factors by Individual Gas" for lbs/retail MWh for CO2, CH4, and N2O.</t>
    </r>
  </si>
  <si>
    <r>
      <rPr>
        <b/>
        <u/>
        <sz val="10"/>
        <rFont val="Arial"/>
        <family val="2"/>
      </rPr>
      <t>Instructions:</t>
    </r>
    <r>
      <rPr>
        <sz val="10"/>
        <rFont val="Arial"/>
        <family val="2"/>
      </rPr>
      <t xml:space="preserve"> 
The fuel efficiency of electric vehicles is rapidly progressing from year to year. To increase the accuracy of your GHG inventory for alternate years, you will need to update the data supporting the average vehicle efficiency applied to electric vehicles in the Tool's calculations. These can be found at FuelEconomy.gov. To maintain consistency, select the seven top selling electric vehicles.</t>
    </r>
  </si>
  <si>
    <r>
      <rPr>
        <b/>
        <u/>
        <sz val="10"/>
        <rFont val="Arial"/>
        <family val="2"/>
      </rPr>
      <t>Instructions:</t>
    </r>
    <r>
      <rPr>
        <sz val="10"/>
        <rFont val="Arial"/>
        <family val="2"/>
      </rPr>
      <t xml:space="preserve"> 
The Tool relies on data from the U.S. EPA's annual Inventory of U.S. Greenhouse Gas Emissions and Sinks to determine protein consumption per capita. To adjust your inventory year, use the link provided to navigate to the most recent summary report released by EPA. 
1) Within the "List of Tables, Figures, and Boxes" navigate to Table 7-16. Input the value provided for the inventory year for "Protein Consumed" in kg/person/year.</t>
    </r>
  </si>
  <si>
    <r>
      <rPr>
        <b/>
        <u/>
        <sz val="10"/>
        <rFont val="Arial"/>
        <family val="2"/>
      </rPr>
      <t>Instructions:</t>
    </r>
    <r>
      <rPr>
        <sz val="10"/>
        <rFont val="Arial"/>
        <family val="2"/>
      </rPr>
      <t xml:space="preserve"> 
The wastewater emissions analysis follows the approach used by the Massachusetts Department of Environmental Protection (DEP) to estimate wastewater treatment emissions for communities in Massachusetts that are not served by an MWRA WWTP in the "Statewide Greenhouse gas Emissions Level: 1990 Baseline and 2020 Business As Usual Projection Update" report. 
A "Wastewater Module" Excel workbook was provided by Sue Ann Richardson of DEP (sue.ann.richardson@state.ma.us) on 9/17/19. Data from the "Summary" tab of this workbook was used to obtain data on State total methane and nitrous oxide emissions from municipal wastewater treatment for 2017 and the Massachusetts state population not served by MWRA.
</t>
    </r>
    <r>
      <rPr>
        <i/>
        <sz val="10"/>
        <rFont val="Arial"/>
        <family val="2"/>
      </rPr>
      <t>For those communities not served by MWRA, please contact MassDEP for the wastwater module of the State's GHG Inventory for the selected inventory year to obtain the following inputs.</t>
    </r>
  </si>
  <si>
    <r>
      <rPr>
        <b/>
        <u/>
        <sz val="10"/>
        <rFont val="Arial"/>
        <family val="2"/>
      </rPr>
      <t>Instructions:</t>
    </r>
    <r>
      <rPr>
        <sz val="10"/>
        <rFont val="Arial"/>
        <family val="2"/>
      </rPr>
      <t xml:space="preserve"> 
Occasionally, the numbers used to assess Global Warming Potential will be updated or revised. This change can be due to updated scientific estimates of the energy absorption or lifetime of the gases or to changing atmospheric concentrations of GHGs that result in a change in the energy absorption of 1 additional ton of a gas relative to another. The Tool defaults to use the GWP values provided by the Intergovernmental Panel on Climate Change in the Fifth Assessment Report (2014). The Global Protocol recommends using the most recent GWP values available. 
</t>
    </r>
    <r>
      <rPr>
        <i/>
        <sz val="10"/>
        <rFont val="Arial"/>
        <family val="2"/>
      </rPr>
      <t>These inputs should only be adjusted if a more recent Assessment Report has been released by the IPCC with revised GWP values, or if this Tool is being used for a historic inventory requiring the use of older GWP values.</t>
    </r>
  </si>
  <si>
    <t>This version of MAPC's tool is auto populated to support the completion of an inventory for the year 2017. If your community would like to complete an inventory for an alternate year, the following additional inputs will need to be updated to datasets from the appropriate year. See Appendix C of MAPC's Step-by-Step Guide for additional guidance.
Please note that, at the time of publishing this Tool, 2017 was the most recent year where the necessary data was widely available. Data availability from the sources listed below may vary depending on the alternate inventory year you have selected.</t>
  </si>
  <si>
    <r>
      <rPr>
        <b/>
        <u/>
        <sz val="10"/>
        <rFont val="Arial"/>
        <family val="2"/>
      </rPr>
      <t>Instructions:</t>
    </r>
    <r>
      <rPr>
        <sz val="10"/>
        <rFont val="Arial"/>
        <family val="2"/>
      </rPr>
      <t xml:space="preserve"> 
Depending on the inventory year selected, new or revised emissions factors may be available for combusted fuels like natural gas and fuel oil. Emissions factors can be sourced from either the Climate Registry or US EPA. Both are free and publicly available - however, you will need to create a free account to access the archive of emissions factors produced by the Climate Registry. </t>
    </r>
  </si>
  <si>
    <r>
      <rPr>
        <b/>
        <u/>
        <sz val="10"/>
        <rFont val="Arial"/>
        <family val="2"/>
      </rPr>
      <t>Instructions:</t>
    </r>
    <r>
      <rPr>
        <sz val="10"/>
        <rFont val="Arial"/>
        <family val="2"/>
      </rPr>
      <t xml:space="preserve"> 
Depending on the inventory year selected, new or revised emissions factors may be available for vehicle fuels like diesel, gasoline, and compressed natural gas. Emissions factors can be sourced from either the Climate Registry or US EPA. Both are free and publicly available - however, you will need to create a free account to access the archive of emissions factors produced by the Climate Registry. </t>
    </r>
  </si>
  <si>
    <t>DEP Generic "Massachusetts-based" CH4 Electricity Emission Factor (lbs CH4/MWh)</t>
  </si>
  <si>
    <t>Overall Emission Factor (lbs of CO2e/MWh)</t>
  </si>
  <si>
    <t>Vehicles Registered Town/City: All</t>
  </si>
  <si>
    <t>Percent of All Vehicles Registered in Town/City With Valid Mileage Estimate and Fuel Economy</t>
  </si>
  <si>
    <t>Vehicles Registered in Town/City by Fuel Type: Adjusted for Vehicles with Missing Mileage Estimate and Fuel Economy</t>
  </si>
  <si>
    <t>Total Daily Vehicle Miles Travelled (DVMT)</t>
  </si>
  <si>
    <t>Total Annual Vehicle Miles Travelled (VMT)</t>
  </si>
  <si>
    <t>Line Annual Diesel Consumption (gal/year)</t>
  </si>
  <si>
    <t>Line Annual Electricity Consumption (MWh/year)</t>
  </si>
  <si>
    <t>Line Electricity Consumption (MWh/year)</t>
  </si>
  <si>
    <t>Line Annual Diesel Consumption (gallons/year)</t>
  </si>
  <si>
    <r>
      <t xml:space="preserve">Municipal utilities can voluntarily report the percent of sales reported as "non-emitting MWh" to DEP. Since this information is not always available, the above analysis assumes that the base percentage of "non-emitting MWh" for retailers is equal to the RPS Class I (including carve-outs) minimum requirement of 12.0% for 2017. This 12.0% assumption is based off the required minimum compliance with the RPS. See </t>
    </r>
    <r>
      <rPr>
        <u/>
        <sz val="9"/>
        <rFont val="Arial"/>
        <family val="2"/>
      </rPr>
      <t>Table 9</t>
    </r>
    <r>
      <rPr>
        <sz val="9"/>
        <rFont val="Arial"/>
        <family val="2"/>
      </rPr>
      <t xml:space="preserve"> below for more details. </t>
    </r>
  </si>
  <si>
    <t>Residential Rate 1</t>
  </si>
  <si>
    <t>Residential Rate 2</t>
  </si>
  <si>
    <t>Residential Rate 3</t>
  </si>
  <si>
    <t>Residential Rate 4</t>
  </si>
  <si>
    <t>C&amp;I Rate 1</t>
  </si>
  <si>
    <t>C&amp;I Rate 2</t>
  </si>
  <si>
    <t>C&amp;I Rate 3</t>
  </si>
  <si>
    <t>C&amp;I Rate 4</t>
  </si>
  <si>
    <r>
      <rPr>
        <b/>
        <u/>
        <sz val="10"/>
        <rFont val="Arial"/>
        <family val="2"/>
      </rPr>
      <t>Instructions:</t>
    </r>
    <r>
      <rPr>
        <sz val="10"/>
        <rFont val="Arial"/>
        <family val="2"/>
      </rPr>
      <t xml:space="preserve"> 
If your community has a green municipal aggregation program (see Question 1C of the Guide), you will also need to update the minimum compliance percentage for Class I under the Massachusetts Renewable Portfolio Standard. Under Massachusetts General Law, this compliance percentage increases by one percent each year. You will need to access the minimum compliance percentage for Class I (with carve outs) for the appropriate inventory year.</t>
    </r>
  </si>
  <si>
    <t>Massachusetts Renewable Portfolio Standard</t>
  </si>
  <si>
    <t>Inputs for Emissions Factors - Table 7</t>
  </si>
  <si>
    <t>Class I (with carve outs)</t>
  </si>
  <si>
    <t>RPS minimum compliance percentage</t>
  </si>
  <si>
    <t>Table 1: Stationary Fuel Emission Factors
Table 3. MA DEP 2016 Massachusetts-based Retail Level Electricity Emission Factor
Table 6. List Investor-owned Utilities and % Non-emitting Sales
Table 7. Community Choice Aggregation Electricity Emission Factors
Table 9. List of Municipal Utilities % Non-emitting Sales
Table 11: IPCC AR5 100-Year Global Warming Potentials without Climate-carbon Feedbacks
Table 12: Transportation Fuel Emission Factors</t>
  </si>
  <si>
    <r>
      <rPr>
        <b/>
        <u/>
        <sz val="10"/>
        <rFont val="Arial"/>
        <family val="2"/>
      </rPr>
      <t>Mandatory Question Instructions Part 1:</t>
    </r>
    <r>
      <rPr>
        <sz val="10"/>
        <rFont val="Arial"/>
        <family val="2"/>
      </rPr>
      <t xml:space="preserve"> 
Use the hyperlink to the right to access the U.S. Census Data search: 
1) Enter "CB1700CBP" into the search bar and select "Search"
2) Select the table titled "All Sectors: County Business Patterns by Legal Form of Organization and Employment Size Class for U.S., States, and Selected Geographics: 2017"
3) Select "Customize Table"
4) Select "Geographies", then select the filters for "County", "Massachuestts", and your municipality's county. 
5) For the top row ("Total for all sectors" and "All establishments") find the "Number of employees" column. Enter this data as total employment for the county in the below table. 
6) For the "Manufacturing" and "All establishments" row find the "Number of employees". Enter this data as manufacturing employment for the county in the below table. 
</t>
    </r>
  </si>
  <si>
    <t>U.S. Census Data</t>
  </si>
  <si>
    <r>
      <rPr>
        <b/>
        <u/>
        <sz val="10"/>
        <rFont val="Arial"/>
        <family val="2"/>
      </rPr>
      <t>Mandatory Question Instructions Part 2:</t>
    </r>
    <r>
      <rPr>
        <sz val="10"/>
        <rFont val="Arial"/>
        <family val="2"/>
      </rPr>
      <t xml:space="preserve"> 
Use the hyperlink to the right to access the U.S. Census Data search: 
1) Enter "S2405" into the search bar and select "Search"
2) Select the table titled "Industry by Occupation for the Civilian Employed Population 16 Years and Over"
3) Underthe "Product" dropdown select the 5-year estimates for your inventory year.
4) Select "Customize Table"
5) Select "Geographies", then select the filters for "County Subdivision", "Massachuestts", and your municipality. 
6) For the top row ("Civilian employed population 16 years and over") find the "Total" estimate column. Enter this data as total employment for the city/town in the below table. 
7) For the "Manufacturing" row find the "Total" estimate column. Enter this data as manufacturing employment for the city/town in the below table. 
</t>
    </r>
  </si>
  <si>
    <t>MAPC DataCommon - US Census Population Estimates</t>
  </si>
  <si>
    <r>
      <rPr>
        <b/>
        <u/>
        <sz val="10"/>
        <rFont val="Arial"/>
        <family val="2"/>
      </rPr>
      <t>Mandatory Question Instructions:</t>
    </r>
    <r>
      <rPr>
        <sz val="10"/>
        <rFont val="Arial"/>
        <family val="2"/>
      </rPr>
      <t xml:space="preserve"> 
Community population estimates from the U.S. Census can be accessed through MAPC's DataCommon. Select the appropriate year for your inventory and navigate to the row for your municipality to find total population.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</si>
</sst>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1">
    <numFmt numFmtId="44" formatCode="_(&quot;$&quot;* #,##0.00_);_(&quot;$&quot;* \(#,##0.00\);_(&quot;$&quot;* &quot;-&quot;??_);_(@_)"/>
    <numFmt numFmtId="43" formatCode="_(* #,##0.00_);_(* \(#,##0.00\);_(* &quot;-&quot;??_);_(@_)"/>
    <numFmt numFmtId="164" formatCode="_(* #,##0_);_(* \(#,##0\);_(* &quot;-&quot;??_);_(@_)"/>
    <numFmt numFmtId="165" formatCode="0.00;[Red]0.00"/>
    <numFmt numFmtId="166" formatCode="0.0%"/>
    <numFmt numFmtId="167" formatCode="0.000"/>
    <numFmt numFmtId="168" formatCode="0.0"/>
    <numFmt numFmtId="169" formatCode="0.00000"/>
    <numFmt numFmtId="170" formatCode="#,##0.0"/>
    <numFmt numFmtId="171" formatCode="#,##0.000"/>
    <numFmt numFmtId="172" formatCode="0.000000"/>
    <numFmt numFmtId="173" formatCode="#,##0.0_);\(#,##0.0\)"/>
    <numFmt numFmtId="174" formatCode="#,##0;[Red]#,##0"/>
    <numFmt numFmtId="175" formatCode="#,##0.000000"/>
    <numFmt numFmtId="176" formatCode="0.0000000"/>
    <numFmt numFmtId="177" formatCode="0.000000000"/>
    <numFmt numFmtId="178" formatCode="0.0000000000"/>
    <numFmt numFmtId="179" formatCode="0.000%"/>
    <numFmt numFmtId="180" formatCode="0.00000000"/>
    <numFmt numFmtId="181" formatCode="#,##0.0000"/>
    <numFmt numFmtId="182" formatCode="#,##0.00000"/>
    <numFmt numFmtId="183" formatCode="#,##0.00000000"/>
    <numFmt numFmtId="184" formatCode="#,##0.0000000"/>
    <numFmt numFmtId="185" formatCode="0.0000%"/>
    <numFmt numFmtId="186" formatCode="0.0000"/>
    <numFmt numFmtId="187" formatCode="#,##0.000000000"/>
    <numFmt numFmtId="188" formatCode="#,##0.0000000000"/>
    <numFmt numFmtId="189" formatCode="0;[Red]0"/>
    <numFmt numFmtId="190" formatCode="0.0000;[Red]0.0000"/>
    <numFmt numFmtId="191" formatCode="0.00000;[Red]0.00000"/>
    <numFmt numFmtId="192" formatCode="0.000000;[Red]0.000000"/>
  </numFmts>
  <fonts count="9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name val="Arial"/>
      <family val="2"/>
    </font>
    <font>
      <b/>
      <sz val="10"/>
      <name val="Arial"/>
      <family val="2"/>
    </font>
    <font>
      <b/>
      <sz val="18"/>
      <name val="Arial"/>
      <family val="2"/>
    </font>
    <font>
      <b/>
      <i/>
      <sz val="11"/>
      <name val="Arial"/>
      <family val="2"/>
    </font>
    <font>
      <b/>
      <sz val="11"/>
      <name val="Arial"/>
      <family val="2"/>
    </font>
    <font>
      <sz val="11"/>
      <name val="Arial"/>
      <family val="2"/>
    </font>
    <font>
      <u/>
      <sz val="10"/>
      <color indexed="12"/>
      <name val="Arial"/>
      <family val="2"/>
    </font>
    <font>
      <sz val="9"/>
      <name val="Arial"/>
      <family val="2"/>
    </font>
    <font>
      <sz val="10"/>
      <color theme="1"/>
      <name val="Calibri"/>
      <family val="2"/>
    </font>
    <font>
      <u/>
      <sz val="10"/>
      <color theme="10"/>
      <name val="Calibri"/>
      <family val="2"/>
    </font>
    <font>
      <sz val="10"/>
      <color theme="0"/>
      <name val="Calibri"/>
      <family val="2"/>
    </font>
    <font>
      <b/>
      <sz val="11"/>
      <color theme="1"/>
      <name val="Calibri"/>
      <family val="2"/>
      <scheme val="minor"/>
    </font>
    <font>
      <sz val="11"/>
      <color indexed="8"/>
      <name val="Calibri"/>
      <family val="2"/>
    </font>
    <font>
      <b/>
      <sz val="9"/>
      <color indexed="9"/>
      <name val="Arial"/>
      <family val="2"/>
    </font>
    <font>
      <b/>
      <sz val="9"/>
      <name val="Arial"/>
      <family val="2"/>
    </font>
    <font>
      <sz val="10"/>
      <color theme="1"/>
      <name val="Calibri"/>
      <family val="2"/>
      <scheme val="minor"/>
    </font>
    <font>
      <sz val="10"/>
      <color theme="1"/>
      <name val="Arial"/>
      <family val="2"/>
    </font>
    <font>
      <b/>
      <sz val="12"/>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color theme="1"/>
      <name val="Arial"/>
      <family val="2"/>
    </font>
    <font>
      <sz val="11"/>
      <color rgb="FF000000"/>
      <name val="Calibri"/>
      <family val="2"/>
      <scheme val="minor"/>
    </font>
    <font>
      <sz val="18"/>
      <color theme="1" tint="0.499984740745262"/>
      <name val="Arial"/>
      <family val="2"/>
    </font>
    <font>
      <sz val="11"/>
      <name val="Calibri"/>
      <family val="2"/>
      <scheme val="minor"/>
    </font>
    <font>
      <b/>
      <sz val="10"/>
      <color rgb="FF000000"/>
      <name val="Arial"/>
      <family val="2"/>
    </font>
    <font>
      <sz val="10"/>
      <color rgb="FF000000"/>
      <name val="Arial"/>
      <family val="2"/>
    </font>
    <font>
      <sz val="10"/>
      <color theme="0"/>
      <name val="Arial"/>
      <family val="2"/>
    </font>
    <font>
      <u/>
      <sz val="11"/>
      <color theme="10"/>
      <name val="Calibri"/>
      <family val="2"/>
      <scheme val="minor"/>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theme="0"/>
      <name val="Arial"/>
      <family val="2"/>
    </font>
    <font>
      <b/>
      <sz val="11"/>
      <color theme="0"/>
      <name val="Arial"/>
      <family val="2"/>
    </font>
    <font>
      <sz val="11"/>
      <color theme="0"/>
      <name val="Arial"/>
      <family val="2"/>
    </font>
    <font>
      <i/>
      <sz val="10"/>
      <name val="Arial"/>
      <family val="2"/>
    </font>
    <font>
      <b/>
      <sz val="12"/>
      <color theme="0"/>
      <name val="Arial"/>
      <family val="2"/>
    </font>
    <font>
      <b/>
      <sz val="18"/>
      <color theme="1"/>
      <name val="Arial"/>
      <family val="2"/>
    </font>
    <font>
      <u/>
      <sz val="9"/>
      <color indexed="12"/>
      <name val="Arial"/>
      <family val="2"/>
    </font>
    <font>
      <sz val="9"/>
      <color theme="1"/>
      <name val="Calibri"/>
      <family val="2"/>
      <scheme val="minor"/>
    </font>
    <font>
      <b/>
      <sz val="11"/>
      <color rgb="FFFF0000"/>
      <name val="Arial"/>
      <family val="2"/>
    </font>
    <font>
      <b/>
      <sz val="11"/>
      <color rgb="FFFF0000"/>
      <name val="Calibri"/>
      <family val="2"/>
      <scheme val="minor"/>
    </font>
    <font>
      <b/>
      <sz val="9"/>
      <color theme="1"/>
      <name val="Calibri"/>
      <family val="2"/>
      <scheme val="minor"/>
    </font>
    <font>
      <b/>
      <sz val="12"/>
      <color theme="4"/>
      <name val="Calibri"/>
      <family val="2"/>
      <scheme val="minor"/>
    </font>
    <font>
      <sz val="9"/>
      <color theme="1"/>
      <name val="Arial"/>
      <family val="2"/>
    </font>
    <font>
      <b/>
      <sz val="10"/>
      <color rgb="FF222222"/>
      <name val="Arial"/>
      <family val="2"/>
    </font>
    <font>
      <sz val="10"/>
      <color rgb="FF222222"/>
      <name val="Arial"/>
      <family val="2"/>
    </font>
    <font>
      <u/>
      <sz val="9"/>
      <color theme="1"/>
      <name val="Arial"/>
      <family val="2"/>
    </font>
    <font>
      <u/>
      <sz val="9"/>
      <name val="Arial"/>
      <family val="2"/>
    </font>
    <font>
      <u/>
      <sz val="10"/>
      <name val="Arial"/>
      <family val="2"/>
    </font>
    <font>
      <b/>
      <u/>
      <sz val="10"/>
      <name val="Arial"/>
      <family val="2"/>
    </font>
    <font>
      <sz val="10"/>
      <name val="Arial Nova"/>
      <family val="2"/>
    </font>
    <font>
      <b/>
      <sz val="10"/>
      <name val="Arial Nova"/>
      <family val="2"/>
    </font>
    <font>
      <b/>
      <sz val="11"/>
      <color theme="0"/>
      <name val="Arial Nova"/>
      <family val="2"/>
    </font>
    <font>
      <b/>
      <sz val="10"/>
      <color theme="0"/>
      <name val="Arial Nova"/>
      <family val="2"/>
    </font>
    <font>
      <sz val="8"/>
      <name val="Arial"/>
      <family val="2"/>
    </font>
    <font>
      <b/>
      <sz val="16"/>
      <name val="Arial"/>
      <family val="2"/>
    </font>
    <font>
      <b/>
      <u/>
      <sz val="11"/>
      <color indexed="12"/>
      <name val="Arial"/>
      <family val="2"/>
    </font>
    <font>
      <sz val="9"/>
      <color indexed="81"/>
      <name val="Tahoma"/>
      <family val="2"/>
    </font>
    <font>
      <b/>
      <sz val="9"/>
      <color indexed="81"/>
      <name val="Tahoma"/>
      <family val="2"/>
    </font>
  </fonts>
  <fills count="77">
    <fill>
      <patternFill patternType="none"/>
    </fill>
    <fill>
      <patternFill patternType="gray125"/>
    </fill>
    <fill>
      <patternFill patternType="solid">
        <fgColor theme="0" tint="-0.249977111117893"/>
        <bgColor indexed="64"/>
      </patternFill>
    </fill>
    <fill>
      <patternFill patternType="solid">
        <fgColor theme="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rgb="FF000000"/>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tint="0.59999389629810485"/>
        <bgColor rgb="FF000000"/>
      </patternFill>
    </fill>
    <fill>
      <patternFill patternType="solid">
        <fgColor theme="4" tint="0.59999389629810485"/>
        <bgColor indexed="64"/>
      </patternFill>
    </fill>
    <fill>
      <patternFill patternType="solid">
        <fgColor theme="5" tint="0.79998168889431442"/>
        <bgColor rgb="FF000000"/>
      </patternFill>
    </fill>
    <fill>
      <patternFill patternType="solid">
        <fgColor theme="0" tint="-0.14999847407452621"/>
        <bgColor rgb="FF000000"/>
      </patternFill>
    </fill>
    <fill>
      <patternFill patternType="solid">
        <fgColor theme="9" tint="0.59999389629810485"/>
        <bgColor indexed="64"/>
      </patternFill>
    </fill>
    <fill>
      <patternFill patternType="solid">
        <fgColor indexed="30"/>
      </patternFill>
    </fill>
    <fill>
      <patternFill patternType="solid">
        <fgColor indexed="29"/>
      </patternFill>
    </fill>
    <fill>
      <patternFill patternType="solid">
        <fgColor indexed="11"/>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47"/>
      </patternFill>
    </fill>
    <fill>
      <patternFill patternType="solid">
        <fgColor indexed="43"/>
      </patternFill>
    </fill>
    <fill>
      <patternFill patternType="solid">
        <fgColor theme="1"/>
        <bgColor indexed="64"/>
      </patternFill>
    </fill>
    <fill>
      <patternFill patternType="solid">
        <fgColor theme="6" tint="0.39997558519241921"/>
        <bgColor rgb="FF000000"/>
      </patternFill>
    </fill>
    <fill>
      <patternFill patternType="solid">
        <fgColor theme="6" tint="0.39997558519241921"/>
        <bgColor indexed="64"/>
      </patternFill>
    </fill>
    <fill>
      <patternFill patternType="solid">
        <fgColor theme="4" tint="0.79998168889431442"/>
        <bgColor rgb="FF000000"/>
      </patternFill>
    </fill>
    <fill>
      <patternFill patternType="solid">
        <fgColor theme="1" tint="0.59999389629810485"/>
        <bgColor indexed="64"/>
      </patternFill>
    </fill>
    <fill>
      <patternFill patternType="solid">
        <fgColor rgb="FFFFC000"/>
        <bgColor indexed="64"/>
      </patternFill>
    </fill>
    <fill>
      <patternFill patternType="solid">
        <fgColor theme="1" tint="0.39997558519241921"/>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499984740745262"/>
        <bgColor rgb="FF000000"/>
      </patternFill>
    </fill>
    <fill>
      <patternFill patternType="solid">
        <fgColor theme="8" tint="0.79998168889431442"/>
        <bgColor indexed="64"/>
      </patternFill>
    </fill>
    <fill>
      <patternFill patternType="solid">
        <fgColor rgb="FF00B050"/>
        <bgColor rgb="FF000000"/>
      </patternFill>
    </fill>
    <fill>
      <patternFill patternType="solid">
        <fgColor rgb="FF00B050"/>
        <bgColor indexed="64"/>
      </patternFill>
    </fill>
    <fill>
      <patternFill patternType="solid">
        <fgColor theme="0" tint="-0.34998626667073579"/>
        <bgColor rgb="FF000000"/>
      </patternFill>
    </fill>
    <fill>
      <patternFill patternType="solid">
        <fgColor rgb="FF0070C0"/>
        <bgColor indexed="64"/>
      </patternFill>
    </fill>
  </fills>
  <borders count="17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style="medium">
        <color indexed="64"/>
      </right>
      <top/>
      <bottom/>
      <diagonal/>
    </border>
    <border>
      <left style="thin">
        <color indexed="64"/>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auto="1"/>
      </left>
      <right style="thin">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top/>
      <bottom style="medium">
        <color indexed="64"/>
      </bottom>
      <diagonal/>
    </border>
    <border>
      <left/>
      <right style="medium">
        <color indexed="64"/>
      </right>
      <top/>
      <bottom style="medium">
        <color indexed="64"/>
      </bottom>
      <diagonal/>
    </border>
    <border>
      <left style="thin">
        <color auto="1"/>
      </left>
      <right style="medium">
        <color auto="1"/>
      </right>
      <top style="thin">
        <color auto="1"/>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auto="1"/>
      </left>
      <right/>
      <top/>
      <bottom style="medium">
        <color auto="1"/>
      </bottom>
      <diagonal/>
    </border>
    <border>
      <left style="medium">
        <color auto="1"/>
      </left>
      <right/>
      <top style="thin">
        <color auto="1"/>
      </top>
      <bottom style="thin">
        <color auto="1"/>
      </bottom>
      <diagonal/>
    </border>
    <border>
      <left/>
      <right/>
      <top style="thin">
        <color indexed="64"/>
      </top>
      <bottom style="medium">
        <color auto="1"/>
      </bottom>
      <diagonal/>
    </border>
    <border>
      <left/>
      <right style="medium">
        <color auto="1"/>
      </right>
      <top style="thin">
        <color indexed="64"/>
      </top>
      <bottom style="medium">
        <color auto="1"/>
      </bottom>
      <diagonal/>
    </border>
    <border>
      <left style="thin">
        <color indexed="64"/>
      </left>
      <right style="thin">
        <color indexed="64"/>
      </right>
      <top style="medium">
        <color indexed="64"/>
      </top>
      <bottom style="hair">
        <color indexed="64"/>
      </bottom>
      <diagonal/>
    </border>
    <border>
      <left style="thin">
        <color indexed="64"/>
      </left>
      <right style="medium">
        <color auto="1"/>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auto="1"/>
      </right>
      <top style="hair">
        <color indexed="64"/>
      </top>
      <bottom style="hair">
        <color indexed="64"/>
      </bottom>
      <diagonal/>
    </border>
    <border>
      <left style="thin">
        <color indexed="64"/>
      </left>
      <right style="thin">
        <color indexed="64"/>
      </right>
      <top style="hair">
        <color indexed="64"/>
      </top>
      <bottom style="thin">
        <color auto="1"/>
      </bottom>
      <diagonal/>
    </border>
    <border>
      <left style="thin">
        <color indexed="64"/>
      </left>
      <right style="medium">
        <color auto="1"/>
      </right>
      <top style="hair">
        <color indexed="64"/>
      </top>
      <bottom style="thin">
        <color auto="1"/>
      </bottom>
      <diagonal/>
    </border>
    <border>
      <left/>
      <right/>
      <top style="medium">
        <color indexed="64"/>
      </top>
      <bottom/>
      <diagonal/>
    </border>
    <border>
      <left/>
      <right style="medium">
        <color indexed="64"/>
      </right>
      <top style="medium">
        <color indexed="64"/>
      </top>
      <bottom/>
      <diagonal/>
    </border>
    <border>
      <left style="medium">
        <color auto="1"/>
      </left>
      <right style="thin">
        <color auto="1"/>
      </right>
      <top style="thin">
        <color auto="1"/>
      </top>
      <bottom/>
      <diagonal/>
    </border>
    <border>
      <left/>
      <right style="thin">
        <color indexed="64"/>
      </right>
      <top style="thin">
        <color indexed="64"/>
      </top>
      <bottom style="medium">
        <color auto="1"/>
      </bottom>
      <diagonal/>
    </border>
    <border>
      <left/>
      <right style="thin">
        <color indexed="64"/>
      </right>
      <top style="medium">
        <color indexed="64"/>
      </top>
      <bottom style="thin">
        <color indexed="64"/>
      </bottom>
      <diagonal/>
    </border>
    <border>
      <left style="medium">
        <color auto="1"/>
      </left>
      <right/>
      <top style="thin">
        <color auto="1"/>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style="medium">
        <color auto="1"/>
      </left>
      <right style="thin">
        <color auto="1"/>
      </right>
      <top style="hair">
        <color auto="1"/>
      </top>
      <bottom style="thin">
        <color auto="1"/>
      </bottom>
      <diagonal/>
    </border>
    <border>
      <left style="medium">
        <color indexed="64"/>
      </left>
      <right style="thin">
        <color indexed="64"/>
      </right>
      <top style="medium">
        <color indexed="64"/>
      </top>
      <bottom style="hair">
        <color indexed="64"/>
      </bottom>
      <diagonal/>
    </border>
    <border>
      <left style="medium">
        <color indexed="64"/>
      </left>
      <right style="thin">
        <color auto="1"/>
      </right>
      <top style="hair">
        <color indexed="64"/>
      </top>
      <bottom style="hair">
        <color indexed="64"/>
      </bottom>
      <diagonal/>
    </border>
    <border>
      <left style="medium">
        <color indexed="64"/>
      </left>
      <right style="thin">
        <color indexed="64"/>
      </right>
      <top style="hair">
        <color indexed="64"/>
      </top>
      <bottom/>
      <diagonal/>
    </border>
    <border>
      <left style="thin">
        <color auto="1"/>
      </left>
      <right style="thin">
        <color auto="1"/>
      </right>
      <top style="hair">
        <color indexed="64"/>
      </top>
      <bottom/>
      <diagonal/>
    </border>
    <border>
      <left style="thin">
        <color indexed="64"/>
      </left>
      <right/>
      <top style="hair">
        <color indexed="64"/>
      </top>
      <bottom style="thin">
        <color auto="1"/>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right style="medium">
        <color indexed="64"/>
      </right>
      <top style="medium">
        <color indexed="64"/>
      </top>
      <bottom style="thin">
        <color auto="1"/>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auto="1"/>
      </left>
      <right style="thin">
        <color auto="1"/>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auto="1"/>
      </right>
      <top style="hair">
        <color indexed="64"/>
      </top>
      <bottom/>
      <diagonal/>
    </border>
    <border>
      <left style="thin">
        <color auto="1"/>
      </left>
      <right/>
      <top style="thin">
        <color auto="1"/>
      </top>
      <bottom/>
      <diagonal/>
    </border>
    <border>
      <left/>
      <right style="medium">
        <color auto="1"/>
      </right>
      <top/>
      <bottom/>
      <diagonal/>
    </border>
    <border>
      <left style="medium">
        <color auto="1"/>
      </left>
      <right/>
      <top style="thin">
        <color auto="1"/>
      </top>
      <bottom style="hair">
        <color auto="1"/>
      </bottom>
      <diagonal/>
    </border>
    <border>
      <left style="medium">
        <color auto="1"/>
      </left>
      <right/>
      <top style="hair">
        <color auto="1"/>
      </top>
      <bottom style="hair">
        <color auto="1"/>
      </bottom>
      <diagonal/>
    </border>
    <border>
      <left style="thin">
        <color indexed="64"/>
      </left>
      <right/>
      <top/>
      <bottom style="medium">
        <color indexed="64"/>
      </bottom>
      <diagonal/>
    </border>
    <border>
      <left/>
      <right style="thin">
        <color indexed="64"/>
      </right>
      <top style="medium">
        <color indexed="64"/>
      </top>
      <bottom/>
      <diagonal/>
    </border>
    <border>
      <left style="medium">
        <color auto="1"/>
      </left>
      <right style="thin">
        <color auto="1"/>
      </right>
      <top/>
      <bottom style="hair">
        <color auto="1"/>
      </bottom>
      <diagonal/>
    </border>
    <border>
      <left style="thin">
        <color indexed="64"/>
      </left>
      <right/>
      <top style="hair">
        <color indexed="64"/>
      </top>
      <bottom/>
      <diagonal/>
    </border>
    <border>
      <left/>
      <right/>
      <top/>
      <bottom style="dashed">
        <color theme="0" tint="-0.24994659260841701"/>
      </bottom>
      <diagonal/>
    </border>
    <border>
      <left/>
      <right/>
      <top/>
      <bottom style="thin">
        <color theme="0" tint="-0.249977111117893"/>
      </bottom>
      <diagonal/>
    </border>
    <border>
      <left/>
      <right/>
      <top style="medium">
        <color theme="4"/>
      </top>
      <bottom/>
      <diagonal/>
    </border>
    <border>
      <left style="thick">
        <color theme="0"/>
      </left>
      <right style="thick">
        <color theme="0"/>
      </right>
      <top/>
      <bottom style="thin">
        <color theme="0" tint="-0.24994659260841701"/>
      </bottom>
      <diagonal/>
    </border>
    <border>
      <left/>
      <right/>
      <top style="thin">
        <color theme="4"/>
      </top>
      <bottom style="dashed">
        <color theme="0" tint="-0.24994659260841701"/>
      </bottom>
      <diagonal/>
    </border>
    <border>
      <left/>
      <right/>
      <top style="thin">
        <color theme="4"/>
      </top>
      <bottom style="thin">
        <color theme="0" tint="-0.24994659260841701"/>
      </bottom>
      <diagonal/>
    </border>
    <border>
      <left style="thin">
        <color indexed="64"/>
      </left>
      <right/>
      <top style="medium">
        <color auto="1"/>
      </top>
      <bottom style="hair">
        <color indexed="64"/>
      </bottom>
      <diagonal/>
    </border>
    <border>
      <left style="medium">
        <color auto="1"/>
      </left>
      <right/>
      <top style="medium">
        <color indexed="64"/>
      </top>
      <bottom style="hair">
        <color auto="1"/>
      </bottom>
      <diagonal/>
    </border>
    <border>
      <left style="medium">
        <color auto="1"/>
      </left>
      <right/>
      <top style="hair">
        <color auto="1"/>
      </top>
      <bottom style="thin">
        <color auto="1"/>
      </bottom>
      <diagonal/>
    </border>
    <border>
      <left style="thin">
        <color auto="1"/>
      </left>
      <right/>
      <top/>
      <bottom style="hair">
        <color auto="1"/>
      </bottom>
      <diagonal/>
    </border>
    <border>
      <left style="thin">
        <color auto="1"/>
      </left>
      <right/>
      <top/>
      <bottom/>
      <diagonal/>
    </border>
    <border>
      <left/>
      <right style="thin">
        <color indexed="64"/>
      </right>
      <top/>
      <bottom style="thin">
        <color indexed="64"/>
      </bottom>
      <diagonal/>
    </border>
    <border>
      <left style="thin">
        <color auto="1"/>
      </left>
      <right/>
      <top style="thin">
        <color auto="1"/>
      </top>
      <bottom style="hair">
        <color auto="1"/>
      </bottom>
      <diagonal/>
    </border>
    <border>
      <left/>
      <right style="thin">
        <color indexed="64"/>
      </right>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auto="1"/>
      </left>
      <right style="thin">
        <color indexed="64"/>
      </right>
      <top style="thin">
        <color indexed="64"/>
      </top>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hair">
        <color indexed="64"/>
      </top>
      <bottom style="hair">
        <color indexed="64"/>
      </bottom>
      <diagonal/>
    </border>
    <border>
      <left/>
      <right style="thin">
        <color auto="1"/>
      </right>
      <top style="thin">
        <color auto="1"/>
      </top>
      <bottom style="hair">
        <color auto="1"/>
      </bottom>
      <diagonal/>
    </border>
    <border>
      <left/>
      <right style="thin">
        <color indexed="64"/>
      </right>
      <top style="hair">
        <color indexed="64"/>
      </top>
      <bottom style="medium">
        <color indexed="64"/>
      </bottom>
      <diagonal/>
    </border>
    <border>
      <left/>
      <right style="thin">
        <color indexed="64"/>
      </right>
      <top style="hair">
        <color indexed="64"/>
      </top>
      <bottom/>
      <diagonal/>
    </border>
    <border>
      <left/>
      <right/>
      <top style="thin">
        <color auto="1"/>
      </top>
      <bottom style="thin">
        <color auto="1"/>
      </bottom>
      <diagonal/>
    </border>
    <border>
      <left/>
      <right style="medium">
        <color auto="1"/>
      </right>
      <top style="thin">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thin">
        <color auto="1"/>
      </bottom>
      <diagonal/>
    </border>
    <border>
      <left/>
      <right style="medium">
        <color auto="1"/>
      </right>
      <top style="hair">
        <color auto="1"/>
      </top>
      <bottom/>
      <diagonal/>
    </border>
    <border>
      <left/>
      <right style="medium">
        <color auto="1"/>
      </right>
      <top/>
      <bottom style="hair">
        <color auto="1"/>
      </bottom>
      <diagonal/>
    </border>
    <border>
      <left/>
      <right style="medium">
        <color auto="1"/>
      </right>
      <top style="thin">
        <color auto="1"/>
      </top>
      <bottom style="thin">
        <color auto="1"/>
      </bottom>
      <diagonal/>
    </border>
    <border>
      <left/>
      <right style="thin">
        <color indexed="64"/>
      </right>
      <top style="hair">
        <color auto="1"/>
      </top>
      <bottom style="thin">
        <color auto="1"/>
      </bottom>
      <diagonal/>
    </border>
    <border>
      <left/>
      <right style="thin">
        <color indexed="64"/>
      </right>
      <top/>
      <bottom/>
      <diagonal/>
    </border>
    <border>
      <left/>
      <right style="thin">
        <color indexed="64"/>
      </right>
      <top style="medium">
        <color indexed="64"/>
      </top>
      <bottom style="hair">
        <color indexed="64"/>
      </bottom>
      <diagonal/>
    </border>
    <border>
      <left/>
      <right/>
      <top style="thin">
        <color auto="1"/>
      </top>
      <bottom/>
      <diagonal/>
    </border>
    <border>
      <left style="medium">
        <color indexed="64"/>
      </left>
      <right style="medium">
        <color indexed="64"/>
      </right>
      <top style="medium">
        <color indexed="64"/>
      </top>
      <bottom style="medium">
        <color indexed="64"/>
      </bottom>
      <diagonal/>
    </border>
    <border>
      <left/>
      <right style="medium">
        <color auto="1"/>
      </right>
      <top style="medium">
        <color indexed="64"/>
      </top>
      <bottom style="hair">
        <color indexed="64"/>
      </bottom>
      <diagonal/>
    </border>
    <border>
      <left/>
      <right style="medium">
        <color indexed="64"/>
      </right>
      <top/>
      <bottom style="thin">
        <color indexed="64"/>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right style="medium">
        <color auto="1"/>
      </right>
      <top style="thin">
        <color indexed="64"/>
      </top>
      <bottom/>
      <diagonal/>
    </border>
    <border>
      <left/>
      <right style="medium">
        <color indexed="64"/>
      </right>
      <top style="hair">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hair">
        <color indexed="64"/>
      </top>
      <bottom style="medium">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hair">
        <color indexed="64"/>
      </left>
      <right style="medium">
        <color indexed="64"/>
      </right>
      <top style="hair">
        <color indexed="64"/>
      </top>
      <bottom/>
      <diagonal/>
    </border>
    <border>
      <left/>
      <right/>
      <top/>
      <bottom style="thin">
        <color auto="1"/>
      </bottom>
      <diagonal/>
    </border>
    <border>
      <left style="medium">
        <color indexed="64"/>
      </left>
      <right style="medium">
        <color indexed="64"/>
      </right>
      <top/>
      <bottom style="thin">
        <color indexed="64"/>
      </bottom>
      <diagonal/>
    </border>
    <border>
      <left style="medium">
        <color indexed="64"/>
      </left>
      <right style="medium">
        <color auto="1"/>
      </right>
      <top style="thin">
        <color indexed="64"/>
      </top>
      <bottom style="medium">
        <color indexed="64"/>
      </bottom>
      <diagonal/>
    </border>
    <border>
      <left style="medium">
        <color auto="1"/>
      </left>
      <right style="medium">
        <color indexed="64"/>
      </right>
      <top style="thin">
        <color auto="1"/>
      </top>
      <bottom style="thin">
        <color auto="1"/>
      </bottom>
      <diagonal/>
    </border>
  </borders>
  <cellStyleXfs count="196">
    <xf numFmtId="0" fontId="0" fillId="0" borderId="0"/>
    <xf numFmtId="43" fontId="11" fillId="0" borderId="0" applyFont="0" applyFill="0" applyBorder="0" applyAlignment="0" applyProtection="0"/>
    <xf numFmtId="0" fontId="18" fillId="0" borderId="0" applyNumberFormat="0" applyFill="0" applyBorder="0" applyAlignment="0" applyProtection="0">
      <alignment vertical="top"/>
      <protection locked="0"/>
    </xf>
    <xf numFmtId="9" fontId="11" fillId="0" borderId="0" applyFont="0" applyFill="0" applyBorder="0" applyAlignment="0" applyProtection="0"/>
    <xf numFmtId="0" fontId="11" fillId="0" borderId="0"/>
    <xf numFmtId="0" fontId="20" fillId="0" borderId="0"/>
    <xf numFmtId="0" fontId="21" fillId="0" borderId="0" applyNumberFormat="0" applyFill="0" applyBorder="0" applyAlignment="0" applyProtection="0">
      <alignment vertical="top"/>
      <protection locked="0"/>
    </xf>
    <xf numFmtId="0" fontId="22" fillId="3" borderId="0" applyNumberFormat="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43" fontId="10" fillId="0" borderId="0" applyFont="0" applyFill="0" applyBorder="0" applyAlignment="0" applyProtection="0"/>
    <xf numFmtId="0" fontId="20" fillId="0" borderId="0"/>
    <xf numFmtId="43" fontId="24" fillId="0" borderId="0" applyFont="0" applyFill="0" applyBorder="0" applyAlignment="0" applyProtection="0"/>
    <xf numFmtId="9" fontId="10" fillId="0" borderId="0" applyFont="0" applyFill="0" applyBorder="0" applyAlignment="0" applyProtection="0"/>
    <xf numFmtId="0" fontId="10" fillId="0" borderId="0"/>
    <xf numFmtId="0" fontId="30" fillId="0" borderId="0" applyNumberFormat="0" applyFill="0" applyBorder="0" applyAlignment="0" applyProtection="0"/>
    <xf numFmtId="0" fontId="31" fillId="0" borderId="31" applyNumberFormat="0" applyFill="0" applyAlignment="0" applyProtection="0"/>
    <xf numFmtId="0" fontId="32" fillId="0" borderId="32" applyNumberFormat="0" applyFill="0" applyAlignment="0" applyProtection="0"/>
    <xf numFmtId="0" fontId="33" fillId="0" borderId="33" applyNumberFormat="0" applyFill="0" applyAlignment="0" applyProtection="0"/>
    <xf numFmtId="0" fontId="33" fillId="0" borderId="0" applyNumberFormat="0" applyFill="0" applyBorder="0" applyAlignment="0" applyProtection="0"/>
    <xf numFmtId="0" fontId="34" fillId="5" borderId="0" applyNumberFormat="0" applyBorder="0" applyAlignment="0" applyProtection="0"/>
    <xf numFmtId="0" fontId="35" fillId="6" borderId="0" applyNumberFormat="0" applyBorder="0" applyAlignment="0" applyProtection="0"/>
    <xf numFmtId="0" fontId="36" fillId="7" borderId="0" applyNumberFormat="0" applyBorder="0" applyAlignment="0" applyProtection="0"/>
    <xf numFmtId="0" fontId="37" fillId="8" borderId="34" applyNumberFormat="0" applyAlignment="0" applyProtection="0"/>
    <xf numFmtId="0" fontId="38" fillId="9" borderId="35" applyNumberFormat="0" applyAlignment="0" applyProtection="0"/>
    <xf numFmtId="0" fontId="39" fillId="9" borderId="34" applyNumberFormat="0" applyAlignment="0" applyProtection="0"/>
    <xf numFmtId="0" fontId="40" fillId="0" borderId="36" applyNumberFormat="0" applyFill="0" applyAlignment="0" applyProtection="0"/>
    <xf numFmtId="0" fontId="41" fillId="10" borderId="37" applyNumberFormat="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23" fillId="0" borderId="39" applyNumberFormat="0" applyFill="0" applyAlignment="0" applyProtection="0"/>
    <xf numFmtId="0" fontId="44" fillId="3"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44" fillId="14" borderId="0" applyNumberFormat="0" applyBorder="0" applyAlignment="0" applyProtection="0"/>
    <xf numFmtId="0" fontId="44"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44" fillId="18" borderId="0" applyNumberFormat="0" applyBorder="0" applyAlignment="0" applyProtection="0"/>
    <xf numFmtId="0" fontId="44"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44" fillId="22" borderId="0" applyNumberFormat="0" applyBorder="0" applyAlignment="0" applyProtection="0"/>
    <xf numFmtId="0" fontId="44"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44" fillId="26" borderId="0" applyNumberFormat="0" applyBorder="0" applyAlignment="0" applyProtection="0"/>
    <xf numFmtId="0" fontId="44" fillId="27"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44" fillId="30" borderId="0" applyNumberFormat="0" applyBorder="0" applyAlignment="0" applyProtection="0"/>
    <xf numFmtId="0" fontId="44" fillId="31"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44" fillId="34" borderId="0" applyNumberFormat="0" applyBorder="0" applyAlignment="0" applyProtection="0"/>
    <xf numFmtId="0" fontId="9" fillId="0" borderId="0"/>
    <xf numFmtId="0" fontId="9" fillId="11" borderId="38" applyNumberFormat="0" applyFont="0" applyAlignment="0" applyProtection="0"/>
    <xf numFmtId="0" fontId="8" fillId="0" borderId="0"/>
    <xf numFmtId="0" fontId="8" fillId="11" borderId="38" applyNumberFormat="0" applyFont="0" applyAlignment="0" applyProtection="0"/>
    <xf numFmtId="0" fontId="8" fillId="12" borderId="0" applyNumberFormat="0" applyBorder="0" applyAlignment="0" applyProtection="0"/>
    <xf numFmtId="0" fontId="8" fillId="13"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7" fillId="0" borderId="0"/>
    <xf numFmtId="0" fontId="7" fillId="11" borderId="38" applyNumberFormat="0" applyFont="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46" fillId="0" borderId="0"/>
    <xf numFmtId="0" fontId="6" fillId="0" borderId="0"/>
    <xf numFmtId="0" fontId="5" fillId="0" borderId="0"/>
    <xf numFmtId="0" fontId="4" fillId="0" borderId="0"/>
    <xf numFmtId="43" fontId="4" fillId="0" borderId="0" applyFont="0" applyFill="0" applyBorder="0" applyAlignment="0" applyProtection="0"/>
    <xf numFmtId="0" fontId="3" fillId="0" borderId="0"/>
    <xf numFmtId="0" fontId="3" fillId="11" borderId="38"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10" fillId="0" borderId="0"/>
    <xf numFmtId="0" fontId="2" fillId="0" borderId="0"/>
    <xf numFmtId="0" fontId="52" fillId="0" borderId="0" applyNumberFormat="0" applyFill="0" applyBorder="0" applyAlignment="0" applyProtection="0"/>
    <xf numFmtId="0" fontId="2" fillId="0" borderId="0"/>
    <xf numFmtId="0" fontId="44" fillId="14" borderId="0" applyNumberFormat="0" applyBorder="0" applyAlignment="0" applyProtection="0"/>
    <xf numFmtId="0" fontId="53" fillId="43" borderId="0" applyNumberFormat="0" applyBorder="0" applyAlignment="0" applyProtection="0"/>
    <xf numFmtId="0" fontId="44" fillId="18" borderId="0" applyNumberFormat="0" applyBorder="0" applyAlignment="0" applyProtection="0"/>
    <xf numFmtId="0" fontId="53" fillId="44" borderId="0" applyNumberFormat="0" applyBorder="0" applyAlignment="0" applyProtection="0"/>
    <xf numFmtId="0" fontId="44" fillId="22" borderId="0" applyNumberFormat="0" applyBorder="0" applyAlignment="0" applyProtection="0"/>
    <xf numFmtId="0" fontId="53" fillId="45" borderId="0" applyNumberFormat="0" applyBorder="0" applyAlignment="0" applyProtection="0"/>
    <xf numFmtId="0" fontId="44" fillId="26" borderId="0" applyNumberFormat="0" applyBorder="0" applyAlignment="0" applyProtection="0"/>
    <xf numFmtId="0" fontId="53" fillId="46" borderId="0" applyNumberFormat="0" applyBorder="0" applyAlignment="0" applyProtection="0"/>
    <xf numFmtId="0" fontId="44" fillId="30" borderId="0" applyNumberFormat="0" applyBorder="0" applyAlignment="0" applyProtection="0"/>
    <xf numFmtId="0" fontId="53" fillId="47" borderId="0" applyNumberFormat="0" applyBorder="0" applyAlignment="0" applyProtection="0"/>
    <xf numFmtId="0" fontId="44" fillId="34" borderId="0" applyNumberFormat="0" applyBorder="0" applyAlignment="0" applyProtection="0"/>
    <xf numFmtId="0" fontId="53" fillId="48" borderId="0" applyNumberFormat="0" applyBorder="0" applyAlignment="0" applyProtection="0"/>
    <xf numFmtId="0" fontId="44" fillId="3" borderId="0" applyNumberFormat="0" applyBorder="0" applyAlignment="0" applyProtection="0"/>
    <xf numFmtId="0" fontId="53" fillId="49" borderId="0" applyNumberFormat="0" applyBorder="0" applyAlignment="0" applyProtection="0"/>
    <xf numFmtId="0" fontId="44" fillId="15" borderId="0" applyNumberFormat="0" applyBorder="0" applyAlignment="0" applyProtection="0"/>
    <xf numFmtId="0" fontId="53" fillId="50" borderId="0" applyNumberFormat="0" applyBorder="0" applyAlignment="0" applyProtection="0"/>
    <xf numFmtId="0" fontId="44" fillId="19" borderId="0" applyNumberFormat="0" applyBorder="0" applyAlignment="0" applyProtection="0"/>
    <xf numFmtId="0" fontId="53" fillId="51" borderId="0" applyNumberFormat="0" applyBorder="0" applyAlignment="0" applyProtection="0"/>
    <xf numFmtId="0" fontId="44" fillId="23" borderId="0" applyNumberFormat="0" applyBorder="0" applyAlignment="0" applyProtection="0"/>
    <xf numFmtId="0" fontId="53" fillId="46" borderId="0" applyNumberFormat="0" applyBorder="0" applyAlignment="0" applyProtection="0"/>
    <xf numFmtId="0" fontId="44" fillId="27" borderId="0" applyNumberFormat="0" applyBorder="0" applyAlignment="0" applyProtection="0"/>
    <xf numFmtId="0" fontId="53" fillId="47" borderId="0" applyNumberFormat="0" applyBorder="0" applyAlignment="0" applyProtection="0"/>
    <xf numFmtId="0" fontId="44" fillId="31" borderId="0" applyNumberFormat="0" applyBorder="0" applyAlignment="0" applyProtection="0"/>
    <xf numFmtId="0" fontId="53" fillId="52" borderId="0" applyNumberFormat="0" applyBorder="0" applyAlignment="0" applyProtection="0"/>
    <xf numFmtId="0" fontId="35" fillId="6" borderId="0" applyNumberFormat="0" applyBorder="0" applyAlignment="0" applyProtection="0"/>
    <xf numFmtId="0" fontId="54" fillId="53" borderId="0" applyNumberFormat="0" applyBorder="0" applyAlignment="0" applyProtection="0"/>
    <xf numFmtId="0" fontId="39" fillId="9" borderId="34" applyNumberFormat="0" applyAlignment="0" applyProtection="0"/>
    <xf numFmtId="0" fontId="55" fillId="54" borderId="47" applyNumberFormat="0" applyAlignment="0" applyProtection="0"/>
    <xf numFmtId="0" fontId="55" fillId="54" borderId="47" applyNumberFormat="0" applyAlignment="0" applyProtection="0"/>
    <xf numFmtId="0" fontId="41" fillId="10" borderId="37" applyNumberFormat="0" applyAlignment="0" applyProtection="0"/>
    <xf numFmtId="0" fontId="56" fillId="55" borderId="48" applyNumberFormat="0" applyAlignment="0" applyProtection="0"/>
    <xf numFmtId="4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43" fillId="0" borderId="0" applyNumberFormat="0" applyFill="0" applyBorder="0" applyAlignment="0" applyProtection="0"/>
    <xf numFmtId="0" fontId="57" fillId="0" borderId="0" applyNumberFormat="0" applyFill="0" applyBorder="0" applyAlignment="0" applyProtection="0"/>
    <xf numFmtId="0" fontId="34" fillId="5" borderId="0" applyNumberFormat="0" applyBorder="0" applyAlignment="0" applyProtection="0"/>
    <xf numFmtId="0" fontId="58" fillId="56" borderId="0" applyNumberFormat="0" applyBorder="0" applyAlignment="0" applyProtection="0"/>
    <xf numFmtId="0" fontId="31" fillId="0" borderId="31" applyNumberFormat="0" applyFill="0" applyAlignment="0" applyProtection="0"/>
    <xf numFmtId="0" fontId="59" fillId="0" borderId="49" applyNumberFormat="0" applyFill="0" applyAlignment="0" applyProtection="0"/>
    <xf numFmtId="0" fontId="32" fillId="0" borderId="32" applyNumberFormat="0" applyFill="0" applyAlignment="0" applyProtection="0"/>
    <xf numFmtId="0" fontId="60" fillId="0" borderId="50" applyNumberFormat="0" applyFill="0" applyAlignment="0" applyProtection="0"/>
    <xf numFmtId="0" fontId="33" fillId="0" borderId="33" applyNumberFormat="0" applyFill="0" applyAlignment="0" applyProtection="0"/>
    <xf numFmtId="0" fontId="61" fillId="0" borderId="51" applyNumberFormat="0" applyFill="0" applyAlignment="0" applyProtection="0"/>
    <xf numFmtId="0" fontId="33" fillId="0" borderId="0" applyNumberFormat="0" applyFill="0" applyBorder="0" applyAlignment="0" applyProtection="0"/>
    <xf numFmtId="0" fontId="61" fillId="0" borderId="0" applyNumberFormat="0" applyFill="0" applyBorder="0" applyAlignment="0" applyProtection="0"/>
    <xf numFmtId="0" fontId="21"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37" fillId="8" borderId="34" applyNumberFormat="0" applyAlignment="0" applyProtection="0"/>
    <xf numFmtId="0" fontId="62" fillId="57" borderId="47" applyNumberFormat="0" applyAlignment="0" applyProtection="0"/>
    <xf numFmtId="0" fontId="62" fillId="57" borderId="47" applyNumberFormat="0" applyAlignment="0" applyProtection="0"/>
    <xf numFmtId="0" fontId="40" fillId="0" borderId="36" applyNumberFormat="0" applyFill="0" applyAlignment="0" applyProtection="0"/>
    <xf numFmtId="0" fontId="63" fillId="0" borderId="52" applyNumberFormat="0" applyFill="0" applyAlignment="0" applyProtection="0"/>
    <xf numFmtId="0" fontId="36" fillId="7" borderId="0" applyNumberFormat="0" applyBorder="0" applyAlignment="0" applyProtection="0"/>
    <xf numFmtId="0" fontId="64" fillId="58" borderId="0" applyNumberFormat="0" applyBorder="0" applyAlignment="0" applyProtection="0"/>
    <xf numFmtId="0" fontId="10" fillId="0" borderId="0"/>
    <xf numFmtId="0" fontId="10" fillId="0" borderId="0"/>
    <xf numFmtId="0" fontId="10" fillId="0" borderId="0"/>
    <xf numFmtId="0" fontId="20" fillId="0" borderId="0"/>
    <xf numFmtId="0" fontId="38" fillId="9" borderId="35" applyNumberFormat="0" applyAlignment="0" applyProtection="0"/>
    <xf numFmtId="0" fontId="65" fillId="54" borderId="53" applyNumberFormat="0" applyAlignment="0" applyProtection="0"/>
    <xf numFmtId="0" fontId="65" fillId="54" borderId="53" applyNumberFormat="0" applyAlignment="0" applyProtection="0"/>
    <xf numFmtId="0" fontId="30" fillId="0" borderId="0" applyNumberFormat="0" applyFill="0" applyBorder="0" applyAlignment="0" applyProtection="0"/>
    <xf numFmtId="0" fontId="66" fillId="0" borderId="0" applyNumberFormat="0" applyFill="0" applyBorder="0" applyAlignment="0" applyProtection="0"/>
    <xf numFmtId="0" fontId="23" fillId="0" borderId="39" applyNumberFormat="0" applyFill="0" applyAlignment="0" applyProtection="0"/>
    <xf numFmtId="0" fontId="67" fillId="0" borderId="54" applyNumberFormat="0" applyFill="0" applyAlignment="0" applyProtection="0"/>
    <xf numFmtId="0" fontId="67" fillId="0" borderId="54" applyNumberFormat="0" applyFill="0" applyAlignment="0" applyProtection="0"/>
    <xf numFmtId="0" fontId="42" fillId="0" borderId="0" applyNumberFormat="0" applyFill="0" applyBorder="0" applyAlignment="0" applyProtection="0"/>
    <xf numFmtId="0" fontId="68" fillId="0" borderId="0" applyNumberFormat="0" applyFill="0" applyBorder="0" applyAlignment="0" applyProtection="0"/>
    <xf numFmtId="0" fontId="76" fillId="0" borderId="0" applyNumberForma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79" fillId="0" borderId="31" applyNumberFormat="0" applyProtection="0">
      <alignment wrapText="1"/>
    </xf>
    <xf numFmtId="0" fontId="76" fillId="0" borderId="117" applyNumberFormat="0" applyFont="0" applyProtection="0">
      <alignment wrapText="1"/>
    </xf>
    <xf numFmtId="0" fontId="79" fillId="0" borderId="118" applyNumberFormat="0" applyProtection="0">
      <alignment wrapText="1"/>
    </xf>
    <xf numFmtId="0" fontId="76" fillId="0" borderId="0" applyNumberFormat="0" applyProtection="0">
      <alignment vertical="top" wrapText="1"/>
    </xf>
    <xf numFmtId="0" fontId="76" fillId="0" borderId="119" applyNumberFormat="0" applyProtection="0">
      <alignment vertical="top" wrapText="1"/>
    </xf>
    <xf numFmtId="0" fontId="79" fillId="0" borderId="120" applyNumberFormat="0" applyProtection="0">
      <alignment horizontal="left" wrapText="1"/>
    </xf>
    <xf numFmtId="0" fontId="76" fillId="0" borderId="121" applyNumberFormat="0" applyFont="0" applyFill="0" applyProtection="0">
      <alignment wrapText="1"/>
    </xf>
    <xf numFmtId="0" fontId="79" fillId="0" borderId="122" applyNumberFormat="0" applyFill="0" applyProtection="0">
      <alignment wrapText="1"/>
    </xf>
    <xf numFmtId="0" fontId="80" fillId="0" borderId="0" applyNumberFormat="0" applyProtection="0">
      <alignment horizontal="left"/>
    </xf>
  </cellStyleXfs>
  <cellXfs count="2431">
    <xf numFmtId="0" fontId="0" fillId="0" borderId="0" xfId="0"/>
    <xf numFmtId="0" fontId="12" fillId="0" borderId="0" xfId="0" applyFont="1"/>
    <xf numFmtId="0" fontId="0" fillId="0" borderId="0" xfId="0" applyFill="1"/>
    <xf numFmtId="0" fontId="11" fillId="0" borderId="0" xfId="0" applyFont="1" applyAlignment="1"/>
    <xf numFmtId="0" fontId="11" fillId="0" borderId="0" xfId="0" applyFont="1" applyFill="1" applyAlignment="1"/>
    <xf numFmtId="0" fontId="27" fillId="0" borderId="0" xfId="10" applyFont="1"/>
    <xf numFmtId="0" fontId="0" fillId="4" borderId="0" xfId="0" applyFill="1"/>
    <xf numFmtId="0" fontId="0" fillId="4" borderId="0" xfId="0" applyFill="1" applyAlignment="1">
      <alignment wrapText="1"/>
    </xf>
    <xf numFmtId="3" fontId="0" fillId="4" borderId="0" xfId="0" applyNumberFormat="1" applyFill="1"/>
    <xf numFmtId="0" fontId="0" fillId="4" borderId="0" xfId="0" applyFont="1" applyFill="1" applyBorder="1" applyAlignment="1">
      <alignment wrapText="1"/>
    </xf>
    <xf numFmtId="3" fontId="0" fillId="4" borderId="0" xfId="0" applyNumberFormat="1" applyFill="1" applyBorder="1"/>
    <xf numFmtId="43" fontId="0" fillId="4" borderId="0" xfId="0" applyNumberFormat="1" applyFill="1" applyBorder="1"/>
    <xf numFmtId="164" fontId="0" fillId="4" borderId="0" xfId="0" applyNumberFormat="1" applyFill="1" applyBorder="1"/>
    <xf numFmtId="0" fontId="12" fillId="4" borderId="0" xfId="0" applyFont="1" applyFill="1"/>
    <xf numFmtId="0" fontId="11" fillId="4" borderId="0" xfId="0" applyFont="1" applyFill="1" applyAlignment="1">
      <alignment wrapText="1"/>
    </xf>
    <xf numFmtId="0" fontId="10" fillId="4" borderId="0" xfId="0" applyNumberFormat="1" applyFont="1" applyFill="1" applyAlignment="1">
      <alignment wrapText="1"/>
    </xf>
    <xf numFmtId="0" fontId="16" fillId="4" borderId="0" xfId="0" applyFont="1" applyFill="1"/>
    <xf numFmtId="0" fontId="27" fillId="4" borderId="0" xfId="10" applyFont="1" applyFill="1"/>
    <xf numFmtId="0" fontId="15" fillId="4" borderId="0" xfId="0" applyFont="1" applyFill="1" applyAlignment="1">
      <alignment horizontal="left"/>
    </xf>
    <xf numFmtId="0" fontId="25" fillId="4" borderId="0" xfId="0" applyFont="1" applyFill="1" applyBorder="1" applyAlignment="1">
      <alignment horizontal="center" vertical="center"/>
    </xf>
    <xf numFmtId="0" fontId="19" fillId="4" borderId="0" xfId="0" applyFont="1" applyFill="1" applyAlignment="1">
      <alignment horizontal="center" vertical="justify"/>
    </xf>
    <xf numFmtId="0" fontId="19" fillId="4" borderId="0" xfId="0" applyFont="1" applyFill="1" applyBorder="1" applyAlignment="1">
      <alignment horizontal="center" vertical="justify"/>
    </xf>
    <xf numFmtId="0" fontId="11" fillId="4" borderId="0" xfId="0" applyFont="1" applyFill="1" applyBorder="1" applyAlignment="1">
      <alignment horizontal="right"/>
    </xf>
    <xf numFmtId="3" fontId="11" fillId="4" borderId="0" xfId="0" applyNumberFormat="1" applyFont="1" applyFill="1" applyBorder="1" applyAlignment="1">
      <alignment horizontal="right"/>
    </xf>
    <xf numFmtId="3" fontId="19" fillId="4" borderId="0" xfId="0" applyNumberFormat="1" applyFont="1" applyFill="1" applyAlignment="1"/>
    <xf numFmtId="0" fontId="19" fillId="4" borderId="0" xfId="0" applyFont="1" applyFill="1" applyAlignment="1"/>
    <xf numFmtId="3" fontId="11" fillId="4" borderId="0" xfId="0" applyNumberFormat="1" applyFont="1" applyFill="1" applyAlignment="1"/>
    <xf numFmtId="0" fontId="0" fillId="0" borderId="0" xfId="0"/>
    <xf numFmtId="0" fontId="0" fillId="4" borderId="0" xfId="0" applyFill="1"/>
    <xf numFmtId="0" fontId="0" fillId="4" borderId="0" xfId="0" applyFill="1" applyBorder="1"/>
    <xf numFmtId="0" fontId="17" fillId="4" borderId="0" xfId="0" applyFont="1" applyFill="1" applyAlignment="1">
      <alignment wrapText="1"/>
    </xf>
    <xf numFmtId="0" fontId="10" fillId="35" borderId="0" xfId="19" applyFont="1" applyFill="1" applyBorder="1" applyAlignment="1">
      <alignment horizontal="center" wrapText="1"/>
    </xf>
    <xf numFmtId="0" fontId="10" fillId="35" borderId="0" xfId="19" applyFont="1" applyFill="1" applyBorder="1" applyAlignment="1">
      <alignment wrapText="1"/>
    </xf>
    <xf numFmtId="0" fontId="10" fillId="35" borderId="0" xfId="19" applyFont="1" applyFill="1" applyBorder="1"/>
    <xf numFmtId="37" fontId="10" fillId="35" borderId="0" xfId="19" applyNumberFormat="1" applyFont="1" applyFill="1" applyBorder="1" applyAlignment="1">
      <alignment horizontal="center" wrapText="1"/>
    </xf>
    <xf numFmtId="0" fontId="10" fillId="35" borderId="0" xfId="19" applyFont="1" applyFill="1" applyBorder="1" applyAlignment="1">
      <alignment horizontal="center" vertical="center" wrapText="1"/>
    </xf>
    <xf numFmtId="0" fontId="47" fillId="4" borderId="0" xfId="0" applyFont="1" applyFill="1"/>
    <xf numFmtId="0" fontId="11" fillId="4" borderId="0" xfId="0" applyFont="1" applyFill="1" applyAlignment="1"/>
    <xf numFmtId="0" fontId="11" fillId="4" borderId="0" xfId="0" applyFont="1" applyFill="1" applyAlignment="1"/>
    <xf numFmtId="0" fontId="11" fillId="4" borderId="0" xfId="0" applyFont="1" applyFill="1" applyAlignment="1"/>
    <xf numFmtId="0" fontId="10" fillId="4" borderId="0" xfId="0" applyNumberFormat="1" applyFont="1" applyFill="1" applyAlignment="1">
      <alignment vertical="top" wrapText="1"/>
    </xf>
    <xf numFmtId="0" fontId="14" fillId="4" borderId="0" xfId="0" applyFont="1" applyFill="1" applyAlignment="1"/>
    <xf numFmtId="0" fontId="10" fillId="4" borderId="0" xfId="0" applyNumberFormat="1" applyFont="1" applyFill="1" applyAlignment="1">
      <alignment horizontal="left" vertical="top"/>
    </xf>
    <xf numFmtId="0" fontId="48" fillId="4" borderId="0" xfId="0" applyFont="1" applyFill="1"/>
    <xf numFmtId="0" fontId="48" fillId="35" borderId="0" xfId="19" applyFont="1" applyFill="1" applyBorder="1"/>
    <xf numFmtId="0" fontId="48" fillId="35" borderId="0" xfId="19" applyFont="1" applyFill="1" applyBorder="1" applyAlignment="1">
      <alignment horizontal="center" wrapText="1"/>
    </xf>
    <xf numFmtId="0" fontId="11" fillId="4" borderId="0" xfId="0" applyFont="1" applyFill="1" applyAlignment="1"/>
    <xf numFmtId="0" fontId="10" fillId="4" borderId="0" xfId="0" applyFont="1" applyFill="1" applyAlignment="1"/>
    <xf numFmtId="0" fontId="11" fillId="4" borderId="0" xfId="0" applyFont="1" applyFill="1" applyAlignment="1">
      <alignment vertical="top" wrapText="1"/>
    </xf>
    <xf numFmtId="0" fontId="11" fillId="4" borderId="0" xfId="0" applyFont="1" applyFill="1" applyAlignment="1"/>
    <xf numFmtId="0" fontId="26" fillId="0" borderId="0" xfId="0" applyFont="1" applyFill="1" applyBorder="1" applyAlignment="1">
      <alignment horizontal="center" wrapText="1"/>
    </xf>
    <xf numFmtId="0" fontId="14" fillId="4" borderId="0" xfId="0" applyFont="1" applyFill="1" applyBorder="1" applyAlignment="1">
      <alignment wrapText="1"/>
    </xf>
    <xf numFmtId="0" fontId="10" fillId="4" borderId="0" xfId="0" applyNumberFormat="1" applyFont="1" applyFill="1" applyBorder="1" applyAlignment="1">
      <alignment vertical="top" wrapText="1"/>
    </xf>
    <xf numFmtId="4" fontId="45" fillId="0" borderId="7" xfId="0" applyNumberFormat="1" applyFont="1" applyBorder="1"/>
    <xf numFmtId="0" fontId="10" fillId="4" borderId="0" xfId="0" applyFont="1" applyFill="1"/>
    <xf numFmtId="0" fontId="11" fillId="4" borderId="0" xfId="0" applyFont="1" applyFill="1" applyAlignment="1">
      <alignment wrapText="1"/>
    </xf>
    <xf numFmtId="0" fontId="11" fillId="4" borderId="0" xfId="0" applyFont="1" applyFill="1" applyAlignment="1">
      <alignment vertical="top" wrapText="1"/>
    </xf>
    <xf numFmtId="0" fontId="11" fillId="4" borderId="0" xfId="0" applyFont="1" applyFill="1" applyAlignment="1"/>
    <xf numFmtId="0" fontId="13" fillId="4" borderId="0" xfId="0" applyFont="1" applyFill="1" applyAlignment="1">
      <alignment horizontal="left"/>
    </xf>
    <xf numFmtId="0" fontId="51" fillId="4" borderId="0" xfId="0" applyFont="1" applyFill="1" applyAlignment="1">
      <alignment wrapText="1"/>
    </xf>
    <xf numFmtId="0" fontId="51" fillId="4" borderId="0" xfId="0" applyFont="1" applyFill="1"/>
    <xf numFmtId="0" fontId="51" fillId="4" borderId="0" xfId="0" applyFont="1" applyFill="1" applyBorder="1" applyAlignment="1">
      <alignment horizontal="center" vertical="center"/>
    </xf>
    <xf numFmtId="11" fontId="51" fillId="4" borderId="0" xfId="0" applyNumberFormat="1" applyFont="1" applyFill="1" applyBorder="1" applyAlignment="1">
      <alignment horizontal="center" vertical="center"/>
    </xf>
    <xf numFmtId="0" fontId="10" fillId="0" borderId="0" xfId="0" applyFont="1" applyFill="1" applyAlignment="1">
      <alignment vertical="top" wrapText="1"/>
    </xf>
    <xf numFmtId="0" fontId="0" fillId="4" borderId="0" xfId="0" applyFill="1" applyBorder="1" applyAlignment="1">
      <alignment wrapText="1"/>
    </xf>
    <xf numFmtId="0" fontId="0" fillId="4" borderId="0" xfId="0" applyFill="1" applyBorder="1" applyAlignment="1"/>
    <xf numFmtId="0" fontId="11" fillId="4" borderId="0" xfId="0" applyFont="1" applyFill="1" applyBorder="1" applyAlignment="1">
      <alignment horizontal="center" vertical="center" wrapText="1"/>
    </xf>
    <xf numFmtId="164" fontId="0" fillId="4" borderId="0" xfId="1" applyNumberFormat="1" applyFont="1" applyFill="1" applyBorder="1"/>
    <xf numFmtId="0" fontId="28" fillId="4" borderId="0" xfId="10" applyFont="1" applyFill="1"/>
    <xf numFmtId="0" fontId="18" fillId="4" borderId="0" xfId="2" applyFont="1" applyFill="1" applyAlignment="1" applyProtection="1"/>
    <xf numFmtId="4" fontId="45" fillId="59" borderId="8" xfId="0" applyNumberFormat="1" applyFont="1" applyFill="1" applyBorder="1" applyAlignment="1">
      <alignment horizontal="center" vertical="center"/>
    </xf>
    <xf numFmtId="0" fontId="10" fillId="4" borderId="56" xfId="0" applyFont="1" applyFill="1" applyBorder="1" applyAlignment="1">
      <alignment horizontal="center" vertical="center"/>
    </xf>
    <xf numFmtId="0" fontId="10" fillId="4" borderId="55" xfId="0" applyFont="1" applyFill="1" applyBorder="1" applyAlignment="1">
      <alignment horizontal="center" vertical="center"/>
    </xf>
    <xf numFmtId="0" fontId="10" fillId="4" borderId="56" xfId="0" applyFont="1" applyFill="1" applyBorder="1" applyAlignment="1">
      <alignment horizontal="center" vertical="center" wrapText="1"/>
    </xf>
    <xf numFmtId="0" fontId="10" fillId="4" borderId="0" xfId="0" applyFont="1" applyFill="1" applyAlignment="1">
      <alignment horizontal="left" vertical="top" wrapText="1"/>
    </xf>
    <xf numFmtId="0" fontId="10" fillId="4" borderId="0" xfId="0" applyNumberFormat="1" applyFont="1" applyFill="1" applyBorder="1" applyAlignment="1">
      <alignment horizontal="left" vertical="top" wrapText="1"/>
    </xf>
    <xf numFmtId="0" fontId="14" fillId="4" borderId="0" xfId="0" applyFont="1" applyFill="1" applyBorder="1" applyAlignment="1">
      <alignment horizontal="left" wrapText="1"/>
    </xf>
    <xf numFmtId="0" fontId="14" fillId="4" borderId="0" xfId="0" applyFont="1" applyFill="1" applyBorder="1" applyAlignment="1">
      <alignment wrapText="1"/>
    </xf>
    <xf numFmtId="0" fontId="14" fillId="4" borderId="0" xfId="0" applyFont="1" applyFill="1" applyAlignment="1"/>
    <xf numFmtId="0" fontId="18" fillId="4" borderId="59" xfId="2" applyFill="1" applyBorder="1" applyAlignment="1" applyProtection="1">
      <alignment horizontal="center" vertical="center"/>
    </xf>
    <xf numFmtId="0" fontId="14" fillId="4" borderId="0" xfId="0" applyFont="1" applyFill="1" applyBorder="1" applyAlignment="1">
      <alignment horizontal="left" wrapText="1"/>
    </xf>
    <xf numFmtId="0" fontId="69" fillId="61" borderId="10" xfId="0" applyFont="1" applyFill="1" applyBorder="1" applyAlignment="1">
      <alignment horizontal="center" vertical="center"/>
    </xf>
    <xf numFmtId="0" fontId="69" fillId="61" borderId="18" xfId="0" applyFont="1" applyFill="1" applyBorder="1" applyAlignment="1">
      <alignment horizontal="center" vertical="center" wrapText="1"/>
    </xf>
    <xf numFmtId="0" fontId="69" fillId="61" borderId="11" xfId="0" applyFont="1" applyFill="1" applyBorder="1" applyAlignment="1">
      <alignment horizontal="center" vertical="center" wrapText="1"/>
    </xf>
    <xf numFmtId="0" fontId="69" fillId="61" borderId="10" xfId="0" applyFont="1" applyFill="1" applyBorder="1" applyAlignment="1">
      <alignment horizontal="center" vertical="center" wrapText="1"/>
    </xf>
    <xf numFmtId="0" fontId="10" fillId="4" borderId="0" xfId="0" applyNumberFormat="1" applyFont="1" applyFill="1" applyBorder="1" applyAlignment="1">
      <alignment horizontal="left" vertical="top"/>
    </xf>
    <xf numFmtId="0" fontId="10" fillId="4" borderId="0" xfId="0" applyFont="1" applyFill="1" applyAlignment="1">
      <alignment horizontal="left" vertical="top"/>
    </xf>
    <xf numFmtId="3" fontId="13" fillId="4" borderId="64" xfId="0" applyNumberFormat="1" applyFont="1" applyFill="1" applyBorder="1" applyAlignment="1">
      <alignment horizontal="center"/>
    </xf>
    <xf numFmtId="0" fontId="69" fillId="61" borderId="10" xfId="110" applyFont="1" applyFill="1" applyBorder="1" applyAlignment="1">
      <alignment horizontal="center" vertical="center"/>
    </xf>
    <xf numFmtId="0" fontId="69" fillId="61" borderId="18" xfId="110" applyFont="1" applyFill="1" applyBorder="1" applyAlignment="1">
      <alignment horizontal="center" vertical="center"/>
    </xf>
    <xf numFmtId="0" fontId="69" fillId="61" borderId="11" xfId="110" applyFont="1" applyFill="1" applyBorder="1" applyAlignment="1">
      <alignment horizontal="center" vertical="center"/>
    </xf>
    <xf numFmtId="0" fontId="69" fillId="61" borderId="56" xfId="0" applyFont="1" applyFill="1" applyBorder="1" applyAlignment="1">
      <alignment horizontal="center" vertical="center" wrapText="1"/>
    </xf>
    <xf numFmtId="3" fontId="49" fillId="0" borderId="64" xfId="0" applyNumberFormat="1" applyFont="1" applyFill="1" applyBorder="1" applyAlignment="1">
      <alignment horizontal="center" vertical="center" wrapText="1"/>
    </xf>
    <xf numFmtId="3" fontId="13" fillId="4" borderId="59" xfId="0" applyNumberFormat="1" applyFont="1" applyFill="1" applyBorder="1" applyAlignment="1">
      <alignment horizontal="center" vertical="center"/>
    </xf>
    <xf numFmtId="0" fontId="50" fillId="0" borderId="76" xfId="0" applyFont="1" applyFill="1" applyBorder="1" applyAlignment="1">
      <alignment horizontal="center" vertical="center"/>
    </xf>
    <xf numFmtId="0" fontId="50" fillId="0" borderId="78" xfId="0" applyFont="1" applyFill="1" applyBorder="1" applyAlignment="1">
      <alignment horizontal="center" vertical="center"/>
    </xf>
    <xf numFmtId="0" fontId="69" fillId="61" borderId="28" xfId="0" applyFont="1" applyFill="1" applyBorder="1" applyAlignment="1">
      <alignment horizontal="center" vertical="center" wrapText="1"/>
    </xf>
    <xf numFmtId="0" fontId="69" fillId="61" borderId="27" xfId="0" applyFont="1" applyFill="1" applyBorder="1" applyAlignment="1">
      <alignment horizontal="center" vertical="center" wrapText="1"/>
    </xf>
    <xf numFmtId="0" fontId="69" fillId="61" borderId="8" xfId="0" applyNumberFormat="1" applyFont="1" applyFill="1" applyBorder="1" applyAlignment="1">
      <alignment horizontal="center" vertical="center" wrapText="1"/>
    </xf>
    <xf numFmtId="0" fontId="69" fillId="61" borderId="9" xfId="0" applyNumberFormat="1" applyFont="1" applyFill="1" applyBorder="1" applyAlignment="1">
      <alignment horizontal="center" vertical="center" wrapText="1"/>
    </xf>
    <xf numFmtId="0" fontId="69" fillId="61" borderId="7" xfId="0" applyFont="1" applyFill="1" applyBorder="1" applyAlignment="1">
      <alignment horizontal="center" vertical="center" wrapText="1"/>
    </xf>
    <xf numFmtId="0" fontId="69" fillId="61" borderId="8" xfId="0" applyFont="1" applyFill="1" applyBorder="1" applyAlignment="1">
      <alignment horizontal="center" vertical="center" wrapText="1"/>
    </xf>
    <xf numFmtId="0" fontId="69" fillId="61" borderId="9" xfId="0" applyFont="1" applyFill="1" applyBorder="1" applyAlignment="1">
      <alignment horizontal="center" vertical="center" wrapText="1"/>
    </xf>
    <xf numFmtId="0" fontId="13" fillId="4" borderId="7" xfId="0" applyFont="1" applyFill="1" applyBorder="1" applyAlignment="1">
      <alignment horizontal="center" vertical="center"/>
    </xf>
    <xf numFmtId="0" fontId="13" fillId="4" borderId="8" xfId="0" applyFont="1" applyFill="1" applyBorder="1" applyAlignment="1">
      <alignment horizontal="center" vertical="center"/>
    </xf>
    <xf numFmtId="0" fontId="13" fillId="4" borderId="9" xfId="0" applyFont="1" applyFill="1" applyBorder="1" applyAlignment="1">
      <alignment horizontal="center" vertical="center"/>
    </xf>
    <xf numFmtId="0" fontId="69" fillId="61" borderId="7" xfId="110" applyFont="1" applyFill="1" applyBorder="1" applyAlignment="1">
      <alignment horizontal="center" vertical="center"/>
    </xf>
    <xf numFmtId="0" fontId="69" fillId="61" borderId="8" xfId="110" applyFont="1" applyFill="1" applyBorder="1" applyAlignment="1">
      <alignment horizontal="center" vertical="center"/>
    </xf>
    <xf numFmtId="0" fontId="69" fillId="61" borderId="9" xfId="110" applyFont="1" applyFill="1" applyBorder="1" applyAlignment="1">
      <alignment horizontal="center" vertical="center"/>
    </xf>
    <xf numFmtId="0" fontId="69" fillId="61" borderId="7" xfId="0" applyNumberFormat="1" applyFont="1" applyFill="1" applyBorder="1" applyAlignment="1">
      <alignment horizontal="center" vertical="center" wrapText="1"/>
    </xf>
    <xf numFmtId="3" fontId="13" fillId="4" borderId="21" xfId="0" applyNumberFormat="1" applyFont="1" applyFill="1" applyBorder="1" applyAlignment="1">
      <alignment horizontal="center" vertical="center"/>
    </xf>
    <xf numFmtId="0" fontId="14" fillId="4" borderId="0" xfId="0" applyFont="1" applyFill="1" applyAlignment="1">
      <alignment vertical="top"/>
    </xf>
    <xf numFmtId="0" fontId="10" fillId="4" borderId="0" xfId="0" applyFont="1" applyFill="1" applyAlignment="1">
      <alignment horizontal="left" vertical="top" wrapText="1"/>
    </xf>
    <xf numFmtId="0" fontId="16" fillId="4" borderId="0" xfId="0" applyFont="1" applyFill="1" applyAlignment="1">
      <alignment horizontal="left" wrapText="1"/>
    </xf>
    <xf numFmtId="0" fontId="14" fillId="4" borderId="0" xfId="0" applyFont="1" applyFill="1" applyAlignment="1"/>
    <xf numFmtId="0" fontId="11" fillId="4" borderId="0" xfId="0" applyFont="1" applyFill="1" applyAlignment="1"/>
    <xf numFmtId="0" fontId="14" fillId="4" borderId="0" xfId="0" applyFont="1" applyFill="1" applyBorder="1" applyAlignment="1">
      <alignment horizontal="left" vertical="top"/>
    </xf>
    <xf numFmtId="0" fontId="11" fillId="4" borderId="0" xfId="0" applyFont="1" applyFill="1" applyAlignment="1"/>
    <xf numFmtId="0" fontId="0" fillId="4" borderId="0" xfId="0" applyFill="1" applyAlignment="1">
      <alignment wrapText="1"/>
    </xf>
    <xf numFmtId="0" fontId="69" fillId="61" borderId="25" xfId="0" applyFont="1" applyFill="1" applyBorder="1" applyAlignment="1">
      <alignment horizontal="center" vertical="center" wrapText="1"/>
    </xf>
    <xf numFmtId="3" fontId="69" fillId="61" borderId="29" xfId="0" applyNumberFormat="1" applyFont="1" applyFill="1" applyBorder="1" applyAlignment="1">
      <alignment horizontal="center" vertical="center"/>
    </xf>
    <xf numFmtId="3" fontId="69" fillId="61" borderId="18" xfId="0" applyNumberFormat="1" applyFont="1" applyFill="1" applyBorder="1" applyAlignment="1">
      <alignment horizontal="center" vertical="center" wrapText="1"/>
    </xf>
    <xf numFmtId="164" fontId="69" fillId="61" borderId="18" xfId="0" applyNumberFormat="1" applyFont="1" applyFill="1" applyBorder="1" applyAlignment="1">
      <alignment horizontal="center" vertical="center" wrapText="1"/>
    </xf>
    <xf numFmtId="3" fontId="69" fillId="61" borderId="11" xfId="0" applyNumberFormat="1" applyFont="1" applyFill="1" applyBorder="1" applyAlignment="1">
      <alignment horizontal="center" vertical="center" wrapText="1"/>
    </xf>
    <xf numFmtId="3" fontId="10" fillId="4" borderId="76" xfId="0" applyNumberFormat="1" applyFont="1" applyFill="1" applyBorder="1" applyAlignment="1">
      <alignment horizontal="center" vertical="center"/>
    </xf>
    <xf numFmtId="3" fontId="10" fillId="4" borderId="78" xfId="0" applyNumberFormat="1" applyFont="1" applyFill="1" applyBorder="1" applyAlignment="1">
      <alignment horizontal="center" vertical="center"/>
    </xf>
    <xf numFmtId="3" fontId="10" fillId="4" borderId="80" xfId="0" applyNumberFormat="1" applyFont="1" applyFill="1" applyBorder="1" applyAlignment="1">
      <alignment horizontal="center" vertical="center"/>
    </xf>
    <xf numFmtId="4" fontId="69" fillId="61" borderId="4" xfId="0" applyNumberFormat="1" applyFont="1" applyFill="1" applyBorder="1" applyAlignment="1">
      <alignment horizontal="center" vertical="center" wrapText="1"/>
    </xf>
    <xf numFmtId="3" fontId="69" fillId="61" borderId="21" xfId="0" applyNumberFormat="1" applyFont="1" applyFill="1" applyBorder="1" applyAlignment="1">
      <alignment horizontal="center" vertical="center" wrapText="1"/>
    </xf>
    <xf numFmtId="4" fontId="69" fillId="61" borderId="21" xfId="0" applyNumberFormat="1" applyFont="1" applyFill="1" applyBorder="1" applyAlignment="1">
      <alignment horizontal="center" vertical="center" wrapText="1"/>
    </xf>
    <xf numFmtId="4" fontId="69" fillId="61" borderId="43" xfId="0" applyNumberFormat="1" applyFont="1" applyFill="1" applyBorder="1" applyAlignment="1">
      <alignment horizontal="center" vertical="center" wrapText="1"/>
    </xf>
    <xf numFmtId="0" fontId="69" fillId="61" borderId="40" xfId="0" applyFont="1" applyFill="1" applyBorder="1" applyAlignment="1">
      <alignment horizontal="center" vertical="center" wrapText="1"/>
    </xf>
    <xf numFmtId="0" fontId="69" fillId="61" borderId="4" xfId="0" applyFont="1" applyFill="1" applyBorder="1" applyAlignment="1">
      <alignment horizontal="center" vertical="center" wrapText="1"/>
    </xf>
    <xf numFmtId="0" fontId="69" fillId="61" borderId="42" xfId="0" applyFont="1" applyFill="1" applyBorder="1" applyAlignment="1">
      <alignment horizontal="center" vertical="center" wrapText="1"/>
    </xf>
    <xf numFmtId="0" fontId="69" fillId="61" borderId="21" xfId="0" applyFont="1" applyFill="1" applyBorder="1" applyAlignment="1">
      <alignment horizontal="center" vertical="center" wrapText="1"/>
    </xf>
    <xf numFmtId="0" fontId="69" fillId="61" borderId="5" xfId="0" applyFont="1" applyFill="1" applyBorder="1" applyAlignment="1">
      <alignment horizontal="center" vertical="center" wrapText="1"/>
    </xf>
    <xf numFmtId="0" fontId="10" fillId="0" borderId="55" xfId="0" applyFont="1" applyFill="1" applyBorder="1" applyAlignment="1">
      <alignment horizontal="center" vertical="center" wrapText="1"/>
    </xf>
    <xf numFmtId="0" fontId="10" fillId="0" borderId="57" xfId="0" applyFont="1" applyFill="1" applyBorder="1" applyAlignment="1">
      <alignment horizontal="center" vertical="center" wrapText="1"/>
    </xf>
    <xf numFmtId="0" fontId="69" fillId="61" borderId="12" xfId="0" applyFont="1" applyFill="1" applyBorder="1" applyAlignment="1">
      <alignment horizontal="center" vertical="center" wrapText="1"/>
    </xf>
    <xf numFmtId="165" fontId="69" fillId="61" borderId="10" xfId="0" applyNumberFormat="1" applyFont="1" applyFill="1" applyBorder="1" applyAlignment="1">
      <alignment horizontal="center" vertical="center" wrapText="1"/>
    </xf>
    <xf numFmtId="165" fontId="69" fillId="61" borderId="18" xfId="0" applyNumberFormat="1" applyFont="1" applyFill="1" applyBorder="1" applyAlignment="1">
      <alignment horizontal="center" vertical="center" wrapText="1"/>
    </xf>
    <xf numFmtId="165" fontId="69" fillId="61" borderId="11" xfId="0" applyNumberFormat="1" applyFont="1" applyFill="1" applyBorder="1" applyAlignment="1">
      <alignment horizontal="center" vertical="center" wrapText="1"/>
    </xf>
    <xf numFmtId="166" fontId="19" fillId="4" borderId="0" xfId="0" applyNumberFormat="1" applyFont="1" applyFill="1" applyBorder="1" applyAlignment="1">
      <alignment horizontal="center" vertical="justify"/>
    </xf>
    <xf numFmtId="3" fontId="10" fillId="4" borderId="0" xfId="0" applyNumberFormat="1" applyFont="1" applyFill="1" applyBorder="1" applyAlignment="1">
      <alignment horizontal="right"/>
    </xf>
    <xf numFmtId="165" fontId="69" fillId="61" borderId="8" xfId="0" applyNumberFormat="1" applyFont="1" applyFill="1" applyBorder="1" applyAlignment="1">
      <alignment horizontal="center" vertical="center" wrapText="1"/>
    </xf>
    <xf numFmtId="165" fontId="69" fillId="61" borderId="9" xfId="0" applyNumberFormat="1" applyFont="1" applyFill="1" applyBorder="1" applyAlignment="1">
      <alignment horizontal="center" vertical="center" wrapText="1"/>
    </xf>
    <xf numFmtId="4" fontId="19" fillId="4" borderId="0" xfId="0" applyNumberFormat="1" applyFont="1" applyFill="1" applyAlignment="1"/>
    <xf numFmtId="0" fontId="10" fillId="0" borderId="60" xfId="0" applyFont="1" applyFill="1" applyBorder="1" applyAlignment="1">
      <alignment horizontal="center" vertical="center" wrapText="1"/>
    </xf>
    <xf numFmtId="9" fontId="11" fillId="4" borderId="0" xfId="0" applyNumberFormat="1" applyFont="1" applyFill="1" applyAlignment="1">
      <alignment vertical="top" wrapText="1"/>
    </xf>
    <xf numFmtId="0" fontId="13" fillId="4" borderId="84" xfId="0" applyFont="1" applyFill="1" applyBorder="1" applyAlignment="1">
      <alignment horizontal="center" vertical="center" wrapText="1"/>
    </xf>
    <xf numFmtId="0" fontId="13" fillId="4" borderId="62" xfId="0" applyFont="1" applyFill="1" applyBorder="1" applyAlignment="1">
      <alignment horizontal="center" vertical="center" wrapText="1"/>
    </xf>
    <xf numFmtId="0" fontId="69" fillId="61" borderId="7" xfId="0" applyFont="1" applyFill="1" applyBorder="1" applyAlignment="1">
      <alignment horizontal="center" vertical="center"/>
    </xf>
    <xf numFmtId="166" fontId="11" fillId="4" borderId="0" xfId="0" applyNumberFormat="1" applyFont="1" applyFill="1" applyAlignment="1"/>
    <xf numFmtId="0" fontId="72" fillId="4" borderId="0" xfId="0" applyFont="1" applyFill="1" applyBorder="1" applyAlignment="1">
      <alignment wrapText="1"/>
    </xf>
    <xf numFmtId="0" fontId="10" fillId="0" borderId="0" xfId="0" applyFont="1" applyBorder="1" applyAlignment="1">
      <alignment wrapText="1"/>
    </xf>
    <xf numFmtId="0" fontId="18" fillId="4" borderId="0" xfId="2" applyFont="1" applyFill="1" applyBorder="1" applyAlignment="1" applyProtection="1">
      <alignment horizontal="center" vertical="center" wrapText="1"/>
    </xf>
    <xf numFmtId="0" fontId="69" fillId="61" borderId="1" xfId="0" applyFont="1" applyFill="1" applyBorder="1" applyAlignment="1">
      <alignment horizontal="center" vertical="center"/>
    </xf>
    <xf numFmtId="165" fontId="69" fillId="61" borderId="21" xfId="0" applyNumberFormat="1" applyFont="1" applyFill="1" applyBorder="1" applyAlignment="1">
      <alignment horizontal="center" vertical="center" wrapText="1"/>
    </xf>
    <xf numFmtId="165" fontId="69" fillId="61" borderId="5" xfId="0" applyNumberFormat="1" applyFont="1" applyFill="1" applyBorder="1" applyAlignment="1">
      <alignment horizontal="center" vertical="center" wrapText="1"/>
    </xf>
    <xf numFmtId="3" fontId="10" fillId="4" borderId="12" xfId="0" applyNumberFormat="1" applyFont="1" applyFill="1" applyBorder="1" applyAlignment="1">
      <alignment horizontal="center" vertical="center"/>
    </xf>
    <xf numFmtId="165" fontId="45" fillId="59" borderId="55" xfId="0" applyNumberFormat="1" applyFont="1" applyFill="1" applyBorder="1" applyAlignment="1">
      <alignment horizontal="center" vertical="center" wrapText="1"/>
    </xf>
    <xf numFmtId="9" fontId="11" fillId="4" borderId="0" xfId="0" applyNumberFormat="1" applyFont="1" applyFill="1" applyAlignment="1"/>
    <xf numFmtId="165" fontId="69" fillId="61" borderId="55" xfId="0" applyNumberFormat="1" applyFont="1" applyFill="1" applyBorder="1" applyAlignment="1">
      <alignment horizontal="center" vertical="center" wrapText="1"/>
    </xf>
    <xf numFmtId="0" fontId="10" fillId="59" borderId="55" xfId="0" applyFont="1" applyFill="1" applyBorder="1" applyAlignment="1">
      <alignment horizontal="center" vertical="center"/>
    </xf>
    <xf numFmtId="165" fontId="69" fillId="61" borderId="86" xfId="0" applyNumberFormat="1" applyFont="1" applyFill="1" applyBorder="1" applyAlignment="1">
      <alignment horizontal="center" vertical="center" wrapText="1"/>
    </xf>
    <xf numFmtId="165" fontId="69" fillId="61" borderId="71" xfId="0" applyNumberFormat="1" applyFont="1" applyFill="1" applyBorder="1" applyAlignment="1">
      <alignment horizontal="center" vertical="center" wrapText="1"/>
    </xf>
    <xf numFmtId="0" fontId="45" fillId="4" borderId="71" xfId="0" applyFont="1" applyFill="1" applyBorder="1" applyAlignment="1">
      <alignment horizontal="center" vertical="center"/>
    </xf>
    <xf numFmtId="0" fontId="10" fillId="4" borderId="71" xfId="0" applyFont="1" applyFill="1" applyBorder="1" applyAlignment="1">
      <alignment horizontal="center" vertical="center"/>
    </xf>
    <xf numFmtId="0" fontId="45" fillId="4" borderId="55" xfId="0" applyFont="1" applyFill="1" applyBorder="1" applyAlignment="1">
      <alignment horizontal="center" vertical="center"/>
    </xf>
    <xf numFmtId="165" fontId="28" fillId="0" borderId="55" xfId="0" applyNumberFormat="1" applyFont="1" applyFill="1" applyBorder="1" applyAlignment="1">
      <alignment horizontal="center" vertical="center" wrapText="1"/>
    </xf>
    <xf numFmtId="49" fontId="28" fillId="0" borderId="55" xfId="0" applyNumberFormat="1" applyFont="1" applyFill="1" applyBorder="1" applyAlignment="1">
      <alignment horizontal="center" vertical="center" wrapText="1"/>
    </xf>
    <xf numFmtId="0" fontId="13" fillId="4" borderId="4" xfId="0" applyFont="1" applyFill="1" applyBorder="1" applyAlignment="1">
      <alignment horizontal="center" vertical="center"/>
    </xf>
    <xf numFmtId="3" fontId="13" fillId="0" borderId="19" xfId="0" applyNumberFormat="1" applyFont="1" applyFill="1" applyBorder="1" applyAlignment="1">
      <alignment horizontal="center" vertical="center"/>
    </xf>
    <xf numFmtId="3" fontId="13" fillId="0" borderId="19" xfId="0" applyNumberFormat="1" applyFont="1" applyFill="1" applyBorder="1" applyAlignment="1">
      <alignment horizontal="center" vertical="center" wrapText="1"/>
    </xf>
    <xf numFmtId="166" fontId="10" fillId="0" borderId="55" xfId="0" applyNumberFormat="1" applyFont="1" applyFill="1" applyBorder="1" applyAlignment="1">
      <alignment horizontal="center" vertical="center"/>
    </xf>
    <xf numFmtId="0" fontId="69" fillId="61" borderId="88" xfId="0" applyFont="1" applyFill="1" applyBorder="1" applyAlignment="1">
      <alignment horizontal="center" vertical="center" wrapText="1"/>
    </xf>
    <xf numFmtId="3" fontId="0" fillId="0" borderId="91" xfId="0" applyNumberFormat="1" applyFill="1" applyBorder="1" applyAlignment="1">
      <alignment horizontal="center" vertical="center"/>
    </xf>
    <xf numFmtId="3" fontId="0" fillId="0" borderId="80" xfId="0" applyNumberFormat="1" applyFill="1" applyBorder="1" applyAlignment="1">
      <alignment horizontal="center" vertical="center"/>
    </xf>
    <xf numFmtId="3" fontId="13" fillId="4" borderId="58" xfId="0" applyNumberFormat="1" applyFont="1" applyFill="1" applyBorder="1" applyAlignment="1">
      <alignment horizontal="center" vertical="center"/>
    </xf>
    <xf numFmtId="3" fontId="13" fillId="0" borderId="58" xfId="0" applyNumberFormat="1" applyFont="1" applyFill="1" applyBorder="1" applyAlignment="1">
      <alignment horizontal="center" vertical="center"/>
    </xf>
    <xf numFmtId="3" fontId="0" fillId="0" borderId="76" xfId="0" applyNumberFormat="1" applyFill="1" applyBorder="1" applyAlignment="1">
      <alignment horizontal="center" vertical="center"/>
    </xf>
    <xf numFmtId="3" fontId="0" fillId="4" borderId="78" xfId="0" applyNumberFormat="1" applyFill="1" applyBorder="1" applyAlignment="1">
      <alignment horizontal="center" vertical="center"/>
    </xf>
    <xf numFmtId="3" fontId="0" fillId="0" borderId="78" xfId="0" applyNumberFormat="1" applyFill="1" applyBorder="1" applyAlignment="1">
      <alignment horizontal="center" vertical="center"/>
    </xf>
    <xf numFmtId="3" fontId="0" fillId="59" borderId="78" xfId="0" applyNumberFormat="1" applyFill="1" applyBorder="1" applyAlignment="1">
      <alignment horizontal="center" vertical="center"/>
    </xf>
    <xf numFmtId="0" fontId="10" fillId="4" borderId="0" xfId="0" applyFont="1" applyFill="1" applyAlignment="1">
      <alignment horizontal="left" vertical="top" wrapText="1"/>
    </xf>
    <xf numFmtId="0" fontId="16" fillId="4" borderId="0" xfId="0" applyFont="1" applyFill="1" applyAlignment="1">
      <alignment horizontal="left" wrapText="1"/>
    </xf>
    <xf numFmtId="3" fontId="10" fillId="4" borderId="103" xfId="0" applyNumberFormat="1" applyFont="1" applyFill="1" applyBorder="1" applyAlignment="1">
      <alignment horizontal="center" vertical="center"/>
    </xf>
    <xf numFmtId="3" fontId="69" fillId="61" borderId="44" xfId="0" applyNumberFormat="1" applyFont="1" applyFill="1" applyBorder="1" applyAlignment="1">
      <alignment horizontal="center" vertical="center" wrapText="1"/>
    </xf>
    <xf numFmtId="4" fontId="28" fillId="0" borderId="90" xfId="0" applyNumberFormat="1" applyFont="1" applyFill="1" applyBorder="1"/>
    <xf numFmtId="4" fontId="28" fillId="0" borderId="95" xfId="0" applyNumberFormat="1" applyFont="1" applyFill="1" applyBorder="1"/>
    <xf numFmtId="4" fontId="28" fillId="0" borderId="104" xfId="0" applyNumberFormat="1" applyFont="1" applyFill="1" applyBorder="1"/>
    <xf numFmtId="4" fontId="45" fillId="59" borderId="106" xfId="0" applyNumberFormat="1" applyFont="1" applyFill="1" applyBorder="1" applyAlignment="1">
      <alignment horizontal="center" vertical="center"/>
    </xf>
    <xf numFmtId="4" fontId="28" fillId="0" borderId="105" xfId="0" applyNumberFormat="1" applyFont="1" applyBorder="1" applyAlignment="1">
      <alignment horizontal="center" vertical="center"/>
    </xf>
    <xf numFmtId="4" fontId="28" fillId="0" borderId="95" xfId="0" applyNumberFormat="1" applyFont="1" applyBorder="1"/>
    <xf numFmtId="4" fontId="28" fillId="0" borderId="104" xfId="0" applyNumberFormat="1" applyFont="1" applyBorder="1"/>
    <xf numFmtId="3" fontId="10" fillId="4" borderId="98" xfId="0" applyNumberFormat="1" applyFont="1" applyFill="1" applyBorder="1" applyAlignment="1">
      <alignment horizontal="center" vertical="center"/>
    </xf>
    <xf numFmtId="4" fontId="45" fillId="59" borderId="91" xfId="0" applyNumberFormat="1" applyFont="1" applyFill="1" applyBorder="1" applyAlignment="1">
      <alignment horizontal="center" vertical="center"/>
    </xf>
    <xf numFmtId="4" fontId="45" fillId="59" borderId="78" xfId="0" applyNumberFormat="1" applyFont="1" applyFill="1" applyBorder="1" applyAlignment="1">
      <alignment horizontal="center" vertical="center"/>
    </xf>
    <xf numFmtId="164" fontId="0" fillId="59" borderId="78" xfId="0" applyNumberFormat="1" applyFill="1" applyBorder="1" applyAlignment="1">
      <alignment horizontal="center" vertical="center"/>
    </xf>
    <xf numFmtId="164" fontId="10" fillId="4" borderId="0" xfId="0" applyNumberFormat="1" applyFont="1" applyFill="1" applyBorder="1"/>
    <xf numFmtId="0" fontId="10" fillId="4" borderId="95" xfId="0" applyFont="1" applyFill="1" applyBorder="1" applyAlignment="1">
      <alignment horizontal="center" vertical="center" wrapText="1"/>
    </xf>
    <xf numFmtId="0" fontId="0" fillId="4" borderId="15" xfId="0" applyFill="1" applyBorder="1"/>
    <xf numFmtId="0" fontId="0" fillId="4" borderId="82" xfId="0" applyFill="1" applyBorder="1"/>
    <xf numFmtId="3" fontId="10" fillId="4" borderId="19" xfId="0" applyNumberFormat="1" applyFont="1" applyFill="1" applyBorder="1" applyAlignment="1">
      <alignment horizontal="center" vertical="center"/>
    </xf>
    <xf numFmtId="3" fontId="13" fillId="4" borderId="12" xfId="0" applyNumberFormat="1" applyFont="1" applyFill="1" applyBorder="1" applyAlignment="1">
      <alignment horizontal="right" vertical="center"/>
    </xf>
    <xf numFmtId="3" fontId="10" fillId="4" borderId="111" xfId="0" applyNumberFormat="1" applyFont="1" applyFill="1" applyBorder="1" applyAlignment="1">
      <alignment horizontal="center" vertical="center"/>
    </xf>
    <xf numFmtId="3" fontId="28" fillId="0" borderId="91" xfId="0" applyNumberFormat="1" applyFont="1" applyFill="1" applyBorder="1" applyAlignment="1">
      <alignment horizontal="center" vertical="center" wrapText="1"/>
    </xf>
    <xf numFmtId="3" fontId="10" fillId="4" borderId="112" xfId="0" applyNumberFormat="1" applyFont="1" applyFill="1" applyBorder="1" applyAlignment="1">
      <alignment horizontal="center" vertical="center"/>
    </xf>
    <xf numFmtId="3" fontId="28" fillId="0" borderId="78" xfId="0" applyNumberFormat="1" applyFont="1" applyFill="1" applyBorder="1" applyAlignment="1">
      <alignment horizontal="center" vertical="center" wrapText="1"/>
    </xf>
    <xf numFmtId="0" fontId="10" fillId="4" borderId="90" xfId="0" applyFont="1" applyFill="1" applyBorder="1" applyAlignment="1">
      <alignment horizontal="center" vertical="center"/>
    </xf>
    <xf numFmtId="0" fontId="10" fillId="4" borderId="95" xfId="0" applyFont="1" applyFill="1" applyBorder="1" applyAlignment="1">
      <alignment horizontal="center" vertical="center"/>
    </xf>
    <xf numFmtId="0" fontId="10" fillId="0" borderId="93" xfId="0" applyFont="1" applyFill="1" applyBorder="1" applyAlignment="1">
      <alignment horizontal="center" vertical="center"/>
    </xf>
    <xf numFmtId="3" fontId="45" fillId="0" borderId="4" xfId="0" applyNumberFormat="1" applyFont="1" applyFill="1" applyBorder="1" applyAlignment="1">
      <alignment horizontal="center" vertical="center"/>
    </xf>
    <xf numFmtId="3" fontId="45" fillId="0" borderId="21" xfId="0" applyNumberFormat="1" applyFont="1" applyFill="1" applyBorder="1" applyAlignment="1">
      <alignment horizontal="center" vertical="center"/>
    </xf>
    <xf numFmtId="0" fontId="10" fillId="4" borderId="0" xfId="0" applyFont="1" applyFill="1" applyAlignment="1">
      <alignment horizontal="left" vertical="top" wrapText="1"/>
    </xf>
    <xf numFmtId="0" fontId="10" fillId="4" borderId="0" xfId="0" applyNumberFormat="1" applyFont="1" applyFill="1" applyBorder="1" applyAlignment="1">
      <alignment horizontal="left" vertical="top" wrapText="1"/>
    </xf>
    <xf numFmtId="0" fontId="69" fillId="61" borderId="46" xfId="0" applyFont="1" applyFill="1" applyBorder="1" applyAlignment="1">
      <alignment horizontal="center" vertical="center" wrapText="1"/>
    </xf>
    <xf numFmtId="0" fontId="75" fillId="4" borderId="65" xfId="2" applyFont="1" applyFill="1" applyBorder="1" applyAlignment="1" applyProtection="1">
      <alignment horizontal="center" vertical="center" wrapText="1"/>
    </xf>
    <xf numFmtId="3" fontId="0" fillId="0" borderId="58" xfId="0" applyNumberFormat="1" applyFill="1" applyBorder="1" applyAlignment="1">
      <alignment horizontal="center" vertical="center"/>
    </xf>
    <xf numFmtId="10" fontId="10" fillId="0" borderId="91" xfId="0" applyNumberFormat="1" applyFont="1" applyFill="1" applyBorder="1" applyAlignment="1">
      <alignment horizontal="center" vertical="center"/>
    </xf>
    <xf numFmtId="10" fontId="10" fillId="0" borderId="78" xfId="0" applyNumberFormat="1" applyFont="1" applyFill="1" applyBorder="1" applyAlignment="1">
      <alignment horizontal="center" vertical="center"/>
    </xf>
    <xf numFmtId="0" fontId="13" fillId="4" borderId="21" xfId="0" applyFont="1" applyFill="1" applyBorder="1" applyAlignment="1">
      <alignment horizontal="center" vertical="center"/>
    </xf>
    <xf numFmtId="0" fontId="0" fillId="59" borderId="5" xfId="0" applyFill="1" applyBorder="1"/>
    <xf numFmtId="0" fontId="13" fillId="4" borderId="4" xfId="0" applyFont="1" applyFill="1" applyBorder="1" applyAlignment="1">
      <alignment horizontal="center"/>
    </xf>
    <xf numFmtId="0" fontId="13" fillId="4" borderId="10" xfId="0" applyNumberFormat="1" applyFont="1" applyFill="1" applyBorder="1" applyAlignment="1">
      <alignment horizontal="left" vertical="top" wrapText="1"/>
    </xf>
    <xf numFmtId="0" fontId="13" fillId="4" borderId="12" xfId="0" applyNumberFormat="1" applyFont="1" applyFill="1" applyBorder="1" applyAlignment="1">
      <alignment horizontal="left" vertical="top" wrapText="1"/>
    </xf>
    <xf numFmtId="0" fontId="14" fillId="35" borderId="66" xfId="19" applyFont="1" applyFill="1" applyBorder="1" applyAlignment="1">
      <alignment vertical="top"/>
    </xf>
    <xf numFmtId="0" fontId="17" fillId="35" borderId="0" xfId="19" applyFont="1" applyFill="1" applyBorder="1"/>
    <xf numFmtId="0" fontId="17" fillId="35" borderId="0" xfId="19" applyFont="1" applyFill="1" applyBorder="1" applyAlignment="1">
      <alignment horizontal="center" wrapText="1"/>
    </xf>
    <xf numFmtId="0" fontId="16" fillId="35" borderId="0" xfId="19" applyFont="1" applyFill="1" applyBorder="1"/>
    <xf numFmtId="0" fontId="16" fillId="35" borderId="66" xfId="19" applyFont="1" applyFill="1" applyBorder="1"/>
    <xf numFmtId="37" fontId="17" fillId="35" borderId="0" xfId="19" applyNumberFormat="1" applyFont="1" applyFill="1" applyBorder="1" applyAlignment="1">
      <alignment horizontal="center" wrapText="1"/>
    </xf>
    <xf numFmtId="3" fontId="28" fillId="41" borderId="80" xfId="3" applyNumberFormat="1" applyFont="1" applyFill="1" applyBorder="1" applyAlignment="1">
      <alignment horizontal="center" vertical="center"/>
    </xf>
    <xf numFmtId="3" fontId="28" fillId="41" borderId="81" xfId="3" applyNumberFormat="1" applyFont="1" applyFill="1" applyBorder="1" applyAlignment="1">
      <alignment horizontal="center" vertical="center"/>
    </xf>
    <xf numFmtId="3" fontId="45" fillId="35" borderId="19" xfId="3" applyNumberFormat="1" applyFont="1" applyFill="1" applyBorder="1" applyAlignment="1">
      <alignment horizontal="center" vertical="center"/>
    </xf>
    <xf numFmtId="3" fontId="45" fillId="35" borderId="13" xfId="3" applyNumberFormat="1" applyFont="1" applyFill="1" applyBorder="1" applyAlignment="1">
      <alignment horizontal="center" vertical="center"/>
    </xf>
    <xf numFmtId="9" fontId="71" fillId="35" borderId="0" xfId="3" applyFont="1" applyFill="1" applyBorder="1"/>
    <xf numFmtId="0" fontId="69" fillId="60" borderId="4" xfId="19" applyFont="1" applyFill="1" applyBorder="1" applyAlignment="1">
      <alignment horizontal="center" vertical="center" wrapText="1"/>
    </xf>
    <xf numFmtId="0" fontId="69" fillId="60" borderId="21" xfId="19" applyFont="1" applyFill="1" applyBorder="1" applyAlignment="1">
      <alignment horizontal="center" vertical="center"/>
    </xf>
    <xf numFmtId="0" fontId="69" fillId="60" borderId="21" xfId="19" applyFont="1" applyFill="1" applyBorder="1" applyAlignment="1">
      <alignment horizontal="center" vertical="center" wrapText="1"/>
    </xf>
    <xf numFmtId="0" fontId="69" fillId="60" borderId="5" xfId="19" applyFont="1" applyFill="1" applyBorder="1" applyAlignment="1">
      <alignment horizontal="center" vertical="center" wrapText="1"/>
    </xf>
    <xf numFmtId="9" fontId="28" fillId="38" borderId="76" xfId="3" applyFont="1" applyFill="1" applyBorder="1" applyAlignment="1">
      <alignment horizontal="center" vertical="center"/>
    </xf>
    <xf numFmtId="3" fontId="28" fillId="38" borderId="76" xfId="3" applyNumberFormat="1" applyFont="1" applyFill="1" applyBorder="1" applyAlignment="1">
      <alignment horizontal="center" vertical="center"/>
    </xf>
    <xf numFmtId="3" fontId="28" fillId="39" borderId="76" xfId="3" applyNumberFormat="1" applyFont="1" applyFill="1" applyBorder="1" applyAlignment="1">
      <alignment horizontal="center" vertical="center"/>
    </xf>
    <xf numFmtId="3" fontId="28" fillId="39" borderId="77" xfId="3" applyNumberFormat="1" applyFont="1" applyFill="1" applyBorder="1" applyAlignment="1">
      <alignment horizontal="center" vertical="center"/>
    </xf>
    <xf numFmtId="9" fontId="28" fillId="38" borderId="78" xfId="3" applyFont="1" applyFill="1" applyBorder="1" applyAlignment="1">
      <alignment horizontal="center" vertical="center"/>
    </xf>
    <xf numFmtId="3" fontId="28" fillId="38" borderId="78" xfId="3" applyNumberFormat="1" applyFont="1" applyFill="1" applyBorder="1" applyAlignment="1">
      <alignment horizontal="center" vertical="center"/>
    </xf>
    <xf numFmtId="3" fontId="28" fillId="39" borderId="78" xfId="3" applyNumberFormat="1" applyFont="1" applyFill="1" applyBorder="1" applyAlignment="1">
      <alignment horizontal="center" vertical="center"/>
    </xf>
    <xf numFmtId="3" fontId="28" fillId="39" borderId="79" xfId="3" applyNumberFormat="1" applyFont="1" applyFill="1" applyBorder="1" applyAlignment="1">
      <alignment horizontal="center" vertical="center"/>
    </xf>
    <xf numFmtId="9" fontId="28" fillId="40" borderId="91" xfId="3" applyFont="1" applyFill="1" applyBorder="1" applyAlignment="1">
      <alignment horizontal="center" vertical="center"/>
    </xf>
    <xf numFmtId="3" fontId="28" fillId="40" borderId="91" xfId="3" applyNumberFormat="1" applyFont="1" applyFill="1" applyBorder="1" applyAlignment="1">
      <alignment horizontal="center" vertical="center"/>
    </xf>
    <xf numFmtId="3" fontId="28" fillId="40" borderId="92" xfId="3" applyNumberFormat="1" applyFont="1" applyFill="1" applyBorder="1" applyAlignment="1">
      <alignment horizontal="center" vertical="center"/>
    </xf>
    <xf numFmtId="0" fontId="28" fillId="40" borderId="80" xfId="19" applyFont="1" applyFill="1" applyBorder="1" applyAlignment="1">
      <alignment horizontal="center" vertical="center"/>
    </xf>
    <xf numFmtId="3" fontId="28" fillId="40" borderId="80" xfId="3" applyNumberFormat="1" applyFont="1" applyFill="1" applyBorder="1" applyAlignment="1">
      <alignment horizontal="center" vertical="center"/>
    </xf>
    <xf numFmtId="3" fontId="28" fillId="40" borderId="81" xfId="3" applyNumberFormat="1" applyFont="1" applyFill="1" applyBorder="1" applyAlignment="1">
      <alignment horizontal="center" vertical="center"/>
    </xf>
    <xf numFmtId="9" fontId="28" fillId="41" borderId="91" xfId="3" applyFont="1" applyFill="1" applyBorder="1" applyAlignment="1">
      <alignment horizontal="center" vertical="center"/>
    </xf>
    <xf numFmtId="3" fontId="28" fillId="41" borderId="91" xfId="3" applyNumberFormat="1" applyFont="1" applyFill="1" applyBorder="1" applyAlignment="1">
      <alignment horizontal="center" vertical="center"/>
    </xf>
    <xf numFmtId="3" fontId="28" fillId="41" borderId="92" xfId="3" applyNumberFormat="1" applyFont="1" applyFill="1" applyBorder="1" applyAlignment="1">
      <alignment horizontal="center" vertical="center"/>
    </xf>
    <xf numFmtId="9" fontId="28" fillId="41" borderId="78" xfId="3" applyFont="1" applyFill="1" applyBorder="1" applyAlignment="1">
      <alignment horizontal="center" vertical="center"/>
    </xf>
    <xf numFmtId="3" fontId="28" fillId="41" borderId="78" xfId="3" applyNumberFormat="1" applyFont="1" applyFill="1" applyBorder="1" applyAlignment="1">
      <alignment horizontal="center" vertical="center"/>
    </xf>
    <xf numFmtId="3" fontId="28" fillId="41" borderId="79" xfId="3" applyNumberFormat="1" applyFont="1" applyFill="1" applyBorder="1" applyAlignment="1">
      <alignment horizontal="center" vertical="center"/>
    </xf>
    <xf numFmtId="9" fontId="28" fillId="41" borderId="80" xfId="3" applyFont="1" applyFill="1" applyBorder="1" applyAlignment="1">
      <alignment horizontal="center" vertical="center"/>
    </xf>
    <xf numFmtId="0" fontId="10" fillId="39" borderId="76" xfId="19" applyFont="1" applyFill="1" applyBorder="1" applyAlignment="1">
      <alignment horizontal="center" vertical="center" wrapText="1"/>
    </xf>
    <xf numFmtId="3" fontId="10" fillId="39" borderId="76" xfId="19" applyNumberFormat="1" applyFont="1" applyFill="1" applyBorder="1" applyAlignment="1">
      <alignment horizontal="center" vertical="center" wrapText="1"/>
    </xf>
    <xf numFmtId="3" fontId="17" fillId="35" borderId="0" xfId="19" applyNumberFormat="1" applyFont="1" applyFill="1" applyBorder="1" applyAlignment="1">
      <alignment horizontal="center" wrapText="1"/>
    </xf>
    <xf numFmtId="0" fontId="10" fillId="39" borderId="78" xfId="19" applyFont="1" applyFill="1" applyBorder="1" applyAlignment="1">
      <alignment horizontal="center" vertical="center" wrapText="1"/>
    </xf>
    <xf numFmtId="3" fontId="10" fillId="39" borderId="78" xfId="19" applyNumberFormat="1" applyFont="1" applyFill="1" applyBorder="1" applyAlignment="1">
      <alignment horizontal="center" vertical="center" wrapText="1"/>
    </xf>
    <xf numFmtId="0" fontId="10" fillId="39" borderId="80" xfId="19" applyFont="1" applyFill="1" applyBorder="1" applyAlignment="1">
      <alignment horizontal="center" vertical="center" wrapText="1"/>
    </xf>
    <xf numFmtId="3" fontId="10" fillId="39" borderId="80" xfId="19" applyNumberFormat="1" applyFont="1" applyFill="1" applyBorder="1" applyAlignment="1">
      <alignment horizontal="center" vertical="center" wrapText="1"/>
    </xf>
    <xf numFmtId="0" fontId="10" fillId="39" borderId="91" xfId="19" applyFont="1" applyFill="1" applyBorder="1" applyAlignment="1">
      <alignment horizontal="center" vertical="center" wrapText="1"/>
    </xf>
    <xf numFmtId="3" fontId="10" fillId="39" borderId="91" xfId="19" applyNumberFormat="1" applyFont="1" applyFill="1" applyBorder="1" applyAlignment="1">
      <alignment horizontal="center" vertical="center" wrapText="1"/>
    </xf>
    <xf numFmtId="0" fontId="10" fillId="39" borderId="97" xfId="19" applyFont="1" applyFill="1" applyBorder="1" applyAlignment="1">
      <alignment horizontal="center" vertical="center" wrapText="1"/>
    </xf>
    <xf numFmtId="3" fontId="10" fillId="39" borderId="97" xfId="19" applyNumberFormat="1" applyFont="1" applyFill="1" applyBorder="1" applyAlignment="1">
      <alignment horizontal="center" vertical="center" wrapText="1"/>
    </xf>
    <xf numFmtId="3" fontId="10" fillId="39" borderId="19" xfId="19" applyNumberFormat="1" applyFont="1" applyFill="1" applyBorder="1" applyAlignment="1">
      <alignment horizontal="center" vertical="center" wrapText="1"/>
    </xf>
    <xf numFmtId="0" fontId="10" fillId="40" borderId="99" xfId="19" applyFont="1" applyFill="1" applyBorder="1" applyAlignment="1">
      <alignment horizontal="center" wrapText="1"/>
    </xf>
    <xf numFmtId="0" fontId="10" fillId="40" borderId="78" xfId="19" applyFont="1" applyFill="1" applyBorder="1" applyAlignment="1">
      <alignment horizontal="center" wrapText="1"/>
    </xf>
    <xf numFmtId="0" fontId="10" fillId="40" borderId="80" xfId="19" applyFont="1" applyFill="1" applyBorder="1" applyAlignment="1">
      <alignment horizontal="center" wrapText="1"/>
    </xf>
    <xf numFmtId="0" fontId="10" fillId="40" borderId="91" xfId="19" applyFont="1" applyFill="1" applyBorder="1" applyAlignment="1">
      <alignment horizontal="center" wrapText="1"/>
    </xf>
    <xf numFmtId="37" fontId="10" fillId="36" borderId="79" xfId="15" applyNumberFormat="1" applyFont="1" applyFill="1" applyBorder="1" applyAlignment="1">
      <alignment horizontal="center" vertical="center" wrapText="1"/>
    </xf>
    <xf numFmtId="37" fontId="10" fillId="36" borderId="81" xfId="15" applyNumberFormat="1" applyFont="1" applyFill="1" applyBorder="1" applyAlignment="1">
      <alignment horizontal="center" vertical="center" wrapText="1"/>
    </xf>
    <xf numFmtId="0" fontId="10" fillId="41" borderId="18" xfId="19" applyFont="1" applyFill="1" applyBorder="1" applyAlignment="1">
      <alignment horizontal="center" vertical="center"/>
    </xf>
    <xf numFmtId="0" fontId="10" fillId="41" borderId="18" xfId="19" applyFont="1" applyFill="1" applyBorder="1" applyAlignment="1">
      <alignment horizontal="center" wrapText="1"/>
    </xf>
    <xf numFmtId="0" fontId="10" fillId="41" borderId="55" xfId="19" applyFont="1" applyFill="1" applyBorder="1" applyAlignment="1">
      <alignment horizontal="center" vertical="center"/>
    </xf>
    <xf numFmtId="0" fontId="10" fillId="41" borderId="19" xfId="19" applyFont="1" applyFill="1" applyBorder="1" applyAlignment="1">
      <alignment horizontal="center" wrapText="1"/>
    </xf>
    <xf numFmtId="0" fontId="10" fillId="41" borderId="19" xfId="19" applyFont="1" applyFill="1" applyBorder="1" applyAlignment="1">
      <alignment horizontal="center" vertical="center" wrapText="1"/>
    </xf>
    <xf numFmtId="0" fontId="17" fillId="35" borderId="0" xfId="19" applyFont="1" applyFill="1" applyBorder="1" applyAlignment="1">
      <alignment wrapText="1"/>
    </xf>
    <xf numFmtId="2" fontId="17" fillId="35" borderId="0" xfId="19" applyNumberFormat="1" applyFont="1" applyFill="1" applyBorder="1" applyAlignment="1">
      <alignment horizontal="center" wrapText="1"/>
    </xf>
    <xf numFmtId="167" fontId="17" fillId="35" borderId="0" xfId="19" applyNumberFormat="1" applyFont="1" applyFill="1" applyBorder="1" applyAlignment="1">
      <alignment horizontal="center" wrapText="1"/>
    </xf>
    <xf numFmtId="0" fontId="17" fillId="35" borderId="0" xfId="19" applyFont="1" applyFill="1" applyBorder="1" applyAlignment="1">
      <alignment horizontal="center" vertical="center" wrapText="1"/>
    </xf>
    <xf numFmtId="0" fontId="10" fillId="4" borderId="0" xfId="0" applyFont="1" applyFill="1" applyAlignment="1">
      <alignment horizontal="left" vertical="top" wrapText="1"/>
    </xf>
    <xf numFmtId="0" fontId="77" fillId="35" borderId="0" xfId="19" applyFont="1" applyFill="1" applyBorder="1" applyAlignment="1">
      <alignment vertical="center"/>
    </xf>
    <xf numFmtId="3" fontId="28" fillId="40" borderId="55" xfId="3" applyNumberFormat="1" applyFont="1" applyFill="1" applyBorder="1" applyAlignment="1">
      <alignment horizontal="center" vertical="center"/>
    </xf>
    <xf numFmtId="3" fontId="28" fillId="41" borderId="55" xfId="3" applyNumberFormat="1" applyFont="1" applyFill="1" applyBorder="1" applyAlignment="1">
      <alignment horizontal="center" vertical="center"/>
    </xf>
    <xf numFmtId="3" fontId="28" fillId="40" borderId="57" xfId="3" applyNumberFormat="1" applyFont="1" applyFill="1" applyBorder="1" applyAlignment="1">
      <alignment horizontal="center" vertical="center"/>
    </xf>
    <xf numFmtId="3" fontId="28" fillId="41" borderId="57" xfId="3" applyNumberFormat="1" applyFont="1" applyFill="1" applyBorder="1" applyAlignment="1">
      <alignment horizontal="center" vertical="center"/>
    </xf>
    <xf numFmtId="3" fontId="45" fillId="35" borderId="58" xfId="3" applyNumberFormat="1" applyFont="1" applyFill="1" applyBorder="1" applyAlignment="1">
      <alignment horizontal="center" vertical="center"/>
    </xf>
    <xf numFmtId="3" fontId="45" fillId="35" borderId="59" xfId="3" applyNumberFormat="1" applyFont="1" applyFill="1" applyBorder="1" applyAlignment="1">
      <alignment horizontal="center" vertical="center"/>
    </xf>
    <xf numFmtId="3" fontId="28" fillId="62" borderId="8" xfId="3" applyNumberFormat="1" applyFont="1" applyFill="1" applyBorder="1" applyAlignment="1">
      <alignment horizontal="center" vertical="center"/>
    </xf>
    <xf numFmtId="9" fontId="10" fillId="35" borderId="0" xfId="3" applyFont="1" applyFill="1" applyBorder="1" applyAlignment="1">
      <alignment horizontal="center" wrapText="1"/>
    </xf>
    <xf numFmtId="166" fontId="10" fillId="35" borderId="0" xfId="3" applyNumberFormat="1" applyFont="1" applyFill="1" applyBorder="1" applyAlignment="1">
      <alignment horizontal="center" wrapText="1"/>
    </xf>
    <xf numFmtId="166" fontId="10" fillId="35" borderId="0" xfId="19" applyNumberFormat="1" applyFont="1" applyFill="1" applyBorder="1" applyAlignment="1">
      <alignment horizontal="center" wrapText="1"/>
    </xf>
    <xf numFmtId="0" fontId="17" fillId="0" borderId="0" xfId="0" applyFont="1" applyBorder="1" applyAlignment="1">
      <alignment vertical="center" wrapText="1"/>
    </xf>
    <xf numFmtId="0" fontId="78" fillId="35" borderId="0" xfId="19" applyFont="1" applyFill="1" applyBorder="1" applyAlignment="1">
      <alignment vertical="center"/>
    </xf>
    <xf numFmtId="0" fontId="13" fillId="4" borderId="7" xfId="0" applyNumberFormat="1" applyFont="1" applyFill="1" applyBorder="1" applyAlignment="1">
      <alignment horizontal="left" vertical="top" wrapText="1"/>
    </xf>
    <xf numFmtId="0" fontId="10" fillId="4" borderId="0" xfId="0" applyFont="1" applyFill="1" applyAlignment="1">
      <alignment vertical="top" wrapText="1"/>
    </xf>
    <xf numFmtId="0" fontId="10" fillId="4" borderId="0" xfId="0" applyFont="1" applyFill="1" applyAlignment="1">
      <alignment wrapText="1"/>
    </xf>
    <xf numFmtId="0" fontId="10" fillId="0" borderId="73" xfId="0" applyFont="1" applyBorder="1" applyAlignment="1">
      <alignment horizontal="center" vertical="center"/>
    </xf>
    <xf numFmtId="0" fontId="10" fillId="0" borderId="87" xfId="0" applyFont="1" applyBorder="1" applyAlignment="1">
      <alignment horizontal="center" vertical="center"/>
    </xf>
    <xf numFmtId="0" fontId="10" fillId="4" borderId="0" xfId="0" applyFont="1" applyFill="1" applyAlignment="1">
      <alignment horizontal="center" vertical="center"/>
    </xf>
    <xf numFmtId="0" fontId="18" fillId="4" borderId="0" xfId="2" applyFill="1" applyAlignment="1" applyProtection="1"/>
    <xf numFmtId="3" fontId="10" fillId="4" borderId="115" xfId="0" applyNumberFormat="1" applyFont="1" applyFill="1" applyBorder="1" applyAlignment="1">
      <alignment horizontal="center" vertical="center"/>
    </xf>
    <xf numFmtId="3" fontId="10" fillId="4" borderId="99" xfId="0" applyNumberFormat="1" applyFont="1" applyFill="1" applyBorder="1" applyAlignment="1">
      <alignment horizontal="center" vertical="center"/>
    </xf>
    <xf numFmtId="0" fontId="69" fillId="61" borderId="1" xfId="0" applyFont="1" applyFill="1" applyBorder="1" applyAlignment="1">
      <alignment horizontal="center" vertical="center" wrapText="1"/>
    </xf>
    <xf numFmtId="3" fontId="10" fillId="4" borderId="96" xfId="0" applyNumberFormat="1" applyFont="1" applyFill="1" applyBorder="1" applyAlignment="1">
      <alignment horizontal="center" vertical="center"/>
    </xf>
    <xf numFmtId="3" fontId="10" fillId="4" borderId="97" xfId="0" applyNumberFormat="1" applyFont="1" applyFill="1" applyBorder="1" applyAlignment="1">
      <alignment horizontal="center" vertical="center"/>
    </xf>
    <xf numFmtId="43" fontId="11" fillId="4" borderId="0" xfId="0" applyNumberFormat="1" applyFont="1" applyFill="1" applyAlignment="1"/>
    <xf numFmtId="0" fontId="13" fillId="0" borderId="89" xfId="0" applyFont="1" applyFill="1" applyBorder="1" applyAlignment="1">
      <alignment horizontal="center" vertical="center" wrapText="1"/>
    </xf>
    <xf numFmtId="0" fontId="10" fillId="4" borderId="0" xfId="0" applyFont="1" applyFill="1" applyBorder="1" applyAlignment="1">
      <alignment wrapText="1"/>
    </xf>
    <xf numFmtId="37" fontId="13" fillId="4" borderId="19" xfId="1" applyNumberFormat="1" applyFont="1" applyFill="1" applyBorder="1" applyAlignment="1">
      <alignment horizontal="center" vertical="center"/>
    </xf>
    <xf numFmtId="37" fontId="13" fillId="4" borderId="13" xfId="1" applyNumberFormat="1" applyFont="1" applyFill="1" applyBorder="1" applyAlignment="1">
      <alignment horizontal="center" vertical="center"/>
    </xf>
    <xf numFmtId="0" fontId="10" fillId="0" borderId="124" xfId="0" applyFont="1" applyFill="1" applyBorder="1" applyAlignment="1">
      <alignment horizontal="center" vertical="center" wrapText="1"/>
    </xf>
    <xf numFmtId="0" fontId="10" fillId="0" borderId="125" xfId="0" applyFont="1" applyFill="1" applyBorder="1" applyAlignment="1">
      <alignment horizontal="center" vertical="center" wrapText="1"/>
    </xf>
    <xf numFmtId="0" fontId="0" fillId="4" borderId="0" xfId="0" applyFill="1" applyAlignment="1">
      <alignment horizontal="center"/>
    </xf>
    <xf numFmtId="2" fontId="0" fillId="4" borderId="0" xfId="0" applyNumberFormat="1" applyFill="1" applyAlignment="1">
      <alignment horizontal="center"/>
    </xf>
    <xf numFmtId="0" fontId="69" fillId="60" borderId="29" xfId="19" applyFont="1" applyFill="1" applyBorder="1" applyAlignment="1">
      <alignment horizontal="center" vertical="center" wrapText="1"/>
    </xf>
    <xf numFmtId="0" fontId="69" fillId="60" borderId="26" xfId="19" applyFont="1" applyFill="1" applyBorder="1" applyAlignment="1">
      <alignment horizontal="center" vertical="center" wrapText="1"/>
    </xf>
    <xf numFmtId="0" fontId="10" fillId="4" borderId="90" xfId="0" applyFont="1" applyFill="1" applyBorder="1" applyAlignment="1">
      <alignment horizontal="center" vertical="center" wrapText="1"/>
    </xf>
    <xf numFmtId="0" fontId="10" fillId="4" borderId="92" xfId="0" applyFont="1" applyFill="1" applyBorder="1" applyAlignment="1">
      <alignment horizontal="center" vertical="center" wrapText="1"/>
    </xf>
    <xf numFmtId="0" fontId="18" fillId="4" borderId="79" xfId="2" applyFill="1" applyBorder="1" applyAlignment="1" applyProtection="1">
      <alignment horizontal="center" vertical="center" wrapText="1"/>
    </xf>
    <xf numFmtId="0" fontId="10" fillId="4" borderId="79" xfId="0" applyFont="1" applyFill="1" applyBorder="1" applyAlignment="1">
      <alignment horizontal="center" vertical="center" wrapText="1"/>
    </xf>
    <xf numFmtId="0" fontId="10" fillId="4" borderId="59" xfId="0" applyFont="1" applyFill="1" applyBorder="1" applyAlignment="1">
      <alignment horizontal="center" vertical="center" wrapText="1"/>
    </xf>
    <xf numFmtId="0" fontId="69" fillId="61" borderId="43" xfId="0" applyFont="1" applyFill="1" applyBorder="1" applyAlignment="1">
      <alignment horizontal="center" vertical="center" wrapText="1"/>
    </xf>
    <xf numFmtId="3" fontId="0" fillId="0" borderId="127" xfId="0" applyNumberFormat="1" applyFill="1" applyBorder="1" applyAlignment="1">
      <alignment horizontal="center" vertical="center"/>
    </xf>
    <xf numFmtId="3" fontId="10" fillId="4" borderId="13" xfId="0" applyNumberFormat="1" applyFont="1" applyFill="1" applyBorder="1" applyAlignment="1">
      <alignment horizontal="center" vertical="center"/>
    </xf>
    <xf numFmtId="9" fontId="10" fillId="59" borderId="19" xfId="0" applyNumberFormat="1" applyFont="1" applyFill="1" applyBorder="1" applyAlignment="1">
      <alignment horizontal="center" vertical="center"/>
    </xf>
    <xf numFmtId="4" fontId="45" fillId="0" borderId="90" xfId="0" applyNumberFormat="1" applyFont="1" applyBorder="1"/>
    <xf numFmtId="4" fontId="28" fillId="0" borderId="105" xfId="0" applyNumberFormat="1" applyFont="1" applyFill="1" applyBorder="1" applyAlignment="1">
      <alignment horizontal="center" vertical="center"/>
    </xf>
    <xf numFmtId="4" fontId="45" fillId="59" borderId="9" xfId="0" applyNumberFormat="1" applyFont="1" applyFill="1" applyBorder="1" applyAlignment="1">
      <alignment horizontal="center" vertical="center"/>
    </xf>
    <xf numFmtId="4" fontId="69" fillId="61" borderId="10" xfId="0" applyNumberFormat="1" applyFont="1" applyFill="1" applyBorder="1" applyAlignment="1">
      <alignment horizontal="center" vertical="center" wrapText="1"/>
    </xf>
    <xf numFmtId="4" fontId="28" fillId="0" borderId="78" xfId="0" applyNumberFormat="1" applyFont="1" applyFill="1" applyBorder="1" applyAlignment="1">
      <alignment horizontal="center" vertical="center"/>
    </xf>
    <xf numFmtId="4" fontId="28" fillId="0" borderId="115" xfId="0" applyNumberFormat="1" applyFont="1" applyBorder="1"/>
    <xf numFmtId="4" fontId="45" fillId="59" borderId="99" xfId="0" applyNumberFormat="1" applyFont="1" applyFill="1" applyBorder="1" applyAlignment="1">
      <alignment horizontal="center" vertical="center"/>
    </xf>
    <xf numFmtId="4" fontId="45" fillId="0" borderId="10" xfId="0" applyNumberFormat="1" applyFont="1" applyBorder="1"/>
    <xf numFmtId="4" fontId="28" fillId="59" borderId="40" xfId="0" applyNumberFormat="1" applyFont="1" applyFill="1" applyBorder="1" applyAlignment="1">
      <alignment horizontal="center" vertical="center"/>
    </xf>
    <xf numFmtId="4" fontId="45" fillId="59" borderId="18" xfId="0" applyNumberFormat="1" applyFont="1" applyFill="1" applyBorder="1" applyAlignment="1">
      <alignment horizontal="center" vertical="center"/>
    </xf>
    <xf numFmtId="4" fontId="45" fillId="59" borderId="11" xfId="0" applyNumberFormat="1" applyFont="1" applyFill="1" applyBorder="1" applyAlignment="1">
      <alignment horizontal="center" vertical="center"/>
    </xf>
    <xf numFmtId="0" fontId="69" fillId="61" borderId="128" xfId="0" applyNumberFormat="1" applyFont="1" applyFill="1" applyBorder="1" applyAlignment="1">
      <alignment horizontal="center" vertical="center" wrapText="1"/>
    </xf>
    <xf numFmtId="0" fontId="10" fillId="4" borderId="57" xfId="0" applyFont="1" applyFill="1" applyBorder="1" applyAlignment="1">
      <alignment horizontal="center" vertical="center" wrapText="1"/>
    </xf>
    <xf numFmtId="3" fontId="45" fillId="0" borderId="43" xfId="0" applyNumberFormat="1" applyFont="1" applyFill="1" applyBorder="1" applyAlignment="1">
      <alignment horizontal="center" vertical="center"/>
    </xf>
    <xf numFmtId="170" fontId="45" fillId="0" borderId="43" xfId="0" applyNumberFormat="1" applyFont="1" applyFill="1" applyBorder="1" applyAlignment="1">
      <alignment horizontal="center" vertical="center"/>
    </xf>
    <xf numFmtId="170" fontId="45" fillId="0" borderId="5" xfId="0" applyNumberFormat="1" applyFont="1" applyFill="1" applyBorder="1" applyAlignment="1">
      <alignment horizontal="center" vertical="center"/>
    </xf>
    <xf numFmtId="3" fontId="69" fillId="61" borderId="40" xfId="0" applyNumberFormat="1" applyFont="1" applyFill="1" applyBorder="1" applyAlignment="1">
      <alignment horizontal="center" vertical="center" wrapText="1"/>
    </xf>
    <xf numFmtId="0" fontId="69" fillId="61" borderId="128" xfId="110" applyFont="1" applyFill="1" applyBorder="1" applyAlignment="1">
      <alignment horizontal="center" vertical="center"/>
    </xf>
    <xf numFmtId="176" fontId="69" fillId="61" borderId="128" xfId="110" applyNumberFormat="1" applyFont="1" applyFill="1" applyBorder="1" applyAlignment="1">
      <alignment horizontal="center" vertical="center"/>
    </xf>
    <xf numFmtId="0" fontId="69" fillId="61" borderId="10" xfId="0" applyFont="1" applyFill="1" applyBorder="1" applyAlignment="1">
      <alignment horizontal="center" vertical="center" wrapText="1"/>
    </xf>
    <xf numFmtId="0" fontId="69" fillId="61" borderId="18" xfId="0" applyFont="1" applyFill="1" applyBorder="1" applyAlignment="1">
      <alignment horizontal="center" vertical="center" wrapText="1"/>
    </xf>
    <xf numFmtId="0" fontId="69" fillId="61" borderId="11" xfId="0" applyFont="1" applyFill="1" applyBorder="1" applyAlignment="1">
      <alignment horizontal="center" vertical="center" wrapText="1"/>
    </xf>
    <xf numFmtId="0" fontId="69" fillId="61" borderId="56" xfId="0" applyFont="1" applyFill="1" applyBorder="1" applyAlignment="1">
      <alignment horizontal="center" vertical="center" wrapText="1"/>
    </xf>
    <xf numFmtId="0" fontId="69" fillId="63" borderId="18" xfId="0" applyFont="1" applyFill="1" applyBorder="1" applyAlignment="1">
      <alignment horizontal="center" vertical="center" wrapText="1"/>
    </xf>
    <xf numFmtId="0" fontId="69" fillId="64" borderId="18" xfId="0" applyFont="1" applyFill="1" applyBorder="1" applyAlignment="1">
      <alignment horizontal="center" vertical="center" wrapText="1"/>
    </xf>
    <xf numFmtId="0" fontId="69" fillId="65" borderId="18" xfId="0" applyFont="1" applyFill="1" applyBorder="1" applyAlignment="1">
      <alignment horizontal="center" vertical="center" wrapText="1"/>
    </xf>
    <xf numFmtId="0" fontId="16" fillId="4" borderId="0" xfId="0" applyFont="1" applyFill="1" applyAlignment="1">
      <alignment horizontal="left" wrapText="1"/>
    </xf>
    <xf numFmtId="0" fontId="10" fillId="4" borderId="0" xfId="0" applyFont="1" applyFill="1" applyAlignment="1">
      <alignment horizontal="left" vertical="top" wrapText="1"/>
    </xf>
    <xf numFmtId="0" fontId="69" fillId="61" borderId="10" xfId="0" applyFont="1" applyFill="1" applyBorder="1" applyAlignment="1">
      <alignment horizontal="center" vertical="center" wrapText="1"/>
    </xf>
    <xf numFmtId="0" fontId="10" fillId="4" borderId="84" xfId="0" applyNumberFormat="1" applyFont="1" applyFill="1" applyBorder="1" applyAlignment="1">
      <alignment horizontal="center" vertical="center" wrapText="1"/>
    </xf>
    <xf numFmtId="0" fontId="18" fillId="4" borderId="110" xfId="2" applyNumberFormat="1" applyFill="1" applyBorder="1" applyAlignment="1" applyProtection="1">
      <alignment horizontal="center" vertical="center" wrapText="1"/>
    </xf>
    <xf numFmtId="3" fontId="50" fillId="0" borderId="97" xfId="0" applyNumberFormat="1" applyFont="1" applyFill="1" applyBorder="1" applyAlignment="1">
      <alignment horizontal="center" vertical="center"/>
    </xf>
    <xf numFmtId="10" fontId="13" fillId="0" borderId="58" xfId="0" applyNumberFormat="1" applyFont="1" applyFill="1" applyBorder="1" applyAlignment="1">
      <alignment horizontal="center" vertical="center"/>
    </xf>
    <xf numFmtId="0" fontId="10" fillId="4" borderId="104" xfId="0" applyFont="1" applyFill="1" applyBorder="1" applyAlignment="1">
      <alignment horizontal="center" vertical="center"/>
    </xf>
    <xf numFmtId="3" fontId="45" fillId="0" borderId="91" xfId="0" applyNumberFormat="1" applyFont="1" applyFill="1" applyBorder="1" applyAlignment="1">
      <alignment horizontal="center" vertical="center"/>
    </xf>
    <xf numFmtId="3" fontId="28" fillId="0" borderId="78" xfId="0" applyNumberFormat="1" applyFont="1" applyFill="1" applyBorder="1" applyAlignment="1">
      <alignment horizontal="center" vertical="center"/>
    </xf>
    <xf numFmtId="166" fontId="28" fillId="0" borderId="78" xfId="3" applyNumberFormat="1" applyFont="1" applyFill="1" applyBorder="1" applyAlignment="1">
      <alignment horizontal="center" vertical="center"/>
    </xf>
    <xf numFmtId="3" fontId="28" fillId="0" borderId="78" xfId="3" applyNumberFormat="1" applyFont="1" applyFill="1" applyBorder="1" applyAlignment="1">
      <alignment horizontal="center" vertical="center"/>
    </xf>
    <xf numFmtId="170" fontId="28" fillId="0" borderId="78" xfId="0" applyNumberFormat="1" applyFont="1" applyFill="1" applyBorder="1" applyAlignment="1">
      <alignment horizontal="center" vertical="center"/>
    </xf>
    <xf numFmtId="3" fontId="28" fillId="0" borderId="105" xfId="0" applyNumberFormat="1" applyFont="1" applyFill="1" applyBorder="1" applyAlignment="1">
      <alignment horizontal="center" vertical="center"/>
    </xf>
    <xf numFmtId="166" fontId="28" fillId="0" borderId="105" xfId="3" applyNumberFormat="1" applyFont="1" applyFill="1" applyBorder="1" applyAlignment="1">
      <alignment horizontal="center" vertical="center"/>
    </xf>
    <xf numFmtId="3" fontId="28" fillId="0" borderId="105" xfId="3" applyNumberFormat="1" applyFont="1" applyFill="1" applyBorder="1" applyAlignment="1">
      <alignment horizontal="center" vertical="center"/>
    </xf>
    <xf numFmtId="3" fontId="10" fillId="0" borderId="105" xfId="0" applyNumberFormat="1" applyFont="1" applyFill="1" applyBorder="1" applyAlignment="1">
      <alignment horizontal="center" vertical="center"/>
    </xf>
    <xf numFmtId="166" fontId="28" fillId="4" borderId="91" xfId="3" applyNumberFormat="1" applyFont="1" applyFill="1" applyBorder="1" applyAlignment="1">
      <alignment horizontal="center" vertical="center"/>
    </xf>
    <xf numFmtId="3" fontId="28" fillId="4" borderId="91" xfId="3" applyNumberFormat="1" applyFont="1" applyFill="1" applyBorder="1" applyAlignment="1">
      <alignment horizontal="center" vertical="center"/>
    </xf>
    <xf numFmtId="170" fontId="28" fillId="0" borderId="91" xfId="0" applyNumberFormat="1" applyFont="1" applyFill="1" applyBorder="1" applyAlignment="1">
      <alignment horizontal="center" vertical="center"/>
    </xf>
    <xf numFmtId="3" fontId="28" fillId="4" borderId="91" xfId="0" applyNumberFormat="1" applyFont="1" applyFill="1" applyBorder="1" applyAlignment="1">
      <alignment horizontal="center" vertical="center"/>
    </xf>
    <xf numFmtId="166" fontId="28" fillId="4" borderId="78" xfId="3" applyNumberFormat="1" applyFont="1" applyFill="1" applyBorder="1" applyAlignment="1">
      <alignment horizontal="center" vertical="center"/>
    </xf>
    <xf numFmtId="3" fontId="28" fillId="4" borderId="78" xfId="3" applyNumberFormat="1" applyFont="1" applyFill="1" applyBorder="1" applyAlignment="1">
      <alignment horizontal="center" vertical="center"/>
    </xf>
    <xf numFmtId="3" fontId="28" fillId="4" borderId="78" xfId="0" applyNumberFormat="1" applyFont="1" applyFill="1" applyBorder="1" applyAlignment="1">
      <alignment horizontal="center" vertical="center"/>
    </xf>
    <xf numFmtId="179" fontId="28" fillId="4" borderId="105" xfId="3" applyNumberFormat="1" applyFont="1" applyFill="1" applyBorder="1" applyAlignment="1">
      <alignment horizontal="center" vertical="center"/>
    </xf>
    <xf numFmtId="3" fontId="28" fillId="4" borderId="105" xfId="3" applyNumberFormat="1" applyFont="1" applyFill="1" applyBorder="1" applyAlignment="1">
      <alignment horizontal="center" vertical="center"/>
    </xf>
    <xf numFmtId="4" fontId="28" fillId="4" borderId="105" xfId="0" applyNumberFormat="1" applyFont="1" applyFill="1" applyBorder="1" applyAlignment="1">
      <alignment horizontal="center" vertical="center"/>
    </xf>
    <xf numFmtId="3" fontId="10" fillId="4" borderId="105" xfId="0" applyNumberFormat="1" applyFont="1" applyFill="1" applyBorder="1" applyAlignment="1">
      <alignment horizontal="center" vertical="center"/>
    </xf>
    <xf numFmtId="164" fontId="69" fillId="61" borderId="11" xfId="0" applyNumberFormat="1" applyFont="1" applyFill="1" applyBorder="1" applyAlignment="1">
      <alignment horizontal="center" vertical="center" wrapText="1"/>
    </xf>
    <xf numFmtId="3" fontId="28" fillId="0" borderId="99" xfId="0" applyNumberFormat="1" applyFont="1" applyFill="1" applyBorder="1" applyAlignment="1">
      <alignment horizontal="center" vertical="center"/>
    </xf>
    <xf numFmtId="166" fontId="28" fillId="0" borderId="59" xfId="0" applyNumberFormat="1" applyFont="1" applyFill="1" applyBorder="1" applyAlignment="1">
      <alignment horizontal="center" vertical="center"/>
    </xf>
    <xf numFmtId="164" fontId="69" fillId="61" borderId="40" xfId="0" applyNumberFormat="1" applyFont="1" applyFill="1" applyBorder="1" applyAlignment="1">
      <alignment horizontal="center" vertical="center" wrapText="1"/>
    </xf>
    <xf numFmtId="4" fontId="45" fillId="0" borderId="21" xfId="0" applyNumberFormat="1" applyFont="1" applyFill="1" applyBorder="1" applyAlignment="1">
      <alignment horizontal="center" vertical="center"/>
    </xf>
    <xf numFmtId="2" fontId="10" fillId="4" borderId="58" xfId="2" applyNumberFormat="1" applyFont="1" applyFill="1" applyBorder="1" applyAlignment="1" applyProtection="1">
      <alignment horizontal="center" vertical="center"/>
    </xf>
    <xf numFmtId="170" fontId="11" fillId="4" borderId="59" xfId="0" applyNumberFormat="1" applyFont="1" applyFill="1" applyBorder="1" applyAlignment="1">
      <alignment horizontal="center" vertical="center"/>
    </xf>
    <xf numFmtId="170" fontId="11" fillId="4" borderId="58" xfId="0" applyNumberFormat="1" applyFont="1" applyFill="1" applyBorder="1" applyAlignment="1">
      <alignment horizontal="center" vertical="center"/>
    </xf>
    <xf numFmtId="171" fontId="10" fillId="0" borderId="12" xfId="0" applyNumberFormat="1" applyFont="1" applyFill="1" applyBorder="1" applyAlignment="1">
      <alignment horizontal="center" vertical="center"/>
    </xf>
    <xf numFmtId="165" fontId="45" fillId="59" borderId="57" xfId="0" applyNumberFormat="1" applyFont="1" applyFill="1" applyBorder="1" applyAlignment="1">
      <alignment horizontal="center" vertical="center" wrapText="1"/>
    </xf>
    <xf numFmtId="0" fontId="10" fillId="4" borderId="28" xfId="0" applyFont="1" applyFill="1" applyBorder="1" applyAlignment="1">
      <alignment horizontal="center" vertical="center" wrapText="1"/>
    </xf>
    <xf numFmtId="0" fontId="10" fillId="4" borderId="45" xfId="0" applyFont="1" applyFill="1" applyBorder="1" applyAlignment="1">
      <alignment horizontal="center" vertical="center" wrapText="1"/>
    </xf>
    <xf numFmtId="170" fontId="10" fillId="0" borderId="78" xfId="0" applyNumberFormat="1" applyFont="1" applyFill="1" applyBorder="1" applyAlignment="1">
      <alignment horizontal="center" vertical="center"/>
    </xf>
    <xf numFmtId="170" fontId="0" fillId="4" borderId="78" xfId="0" applyNumberFormat="1" applyFill="1" applyBorder="1" applyAlignment="1">
      <alignment horizontal="center" vertical="center"/>
    </xf>
    <xf numFmtId="4" fontId="0" fillId="4" borderId="78" xfId="0" applyNumberFormat="1" applyFill="1" applyBorder="1" applyAlignment="1">
      <alignment horizontal="center" vertical="center"/>
    </xf>
    <xf numFmtId="3" fontId="10" fillId="0" borderId="78" xfId="0" applyNumberFormat="1" applyFont="1" applyFill="1" applyBorder="1" applyAlignment="1">
      <alignment horizontal="center" vertical="center"/>
    </xf>
    <xf numFmtId="3" fontId="10" fillId="0" borderId="76" xfId="0" applyNumberFormat="1" applyFont="1" applyFill="1" applyBorder="1" applyAlignment="1">
      <alignment horizontal="center" vertical="center"/>
    </xf>
    <xf numFmtId="170" fontId="13" fillId="0" borderId="59" xfId="0" applyNumberFormat="1" applyFont="1" applyFill="1" applyBorder="1" applyAlignment="1">
      <alignment horizontal="center" vertical="center"/>
    </xf>
    <xf numFmtId="170" fontId="10" fillId="0" borderId="79" xfId="0" applyNumberFormat="1" applyFont="1" applyFill="1" applyBorder="1" applyAlignment="1">
      <alignment horizontal="center" vertical="center"/>
    </xf>
    <xf numFmtId="170" fontId="10" fillId="0" borderId="77" xfId="0" applyNumberFormat="1" applyFont="1" applyFill="1" applyBorder="1" applyAlignment="1">
      <alignment horizontal="center" vertical="center"/>
    </xf>
    <xf numFmtId="164" fontId="69" fillId="61" borderId="10" xfId="0" applyNumberFormat="1" applyFont="1" applyFill="1" applyBorder="1" applyAlignment="1">
      <alignment horizontal="center" vertical="center" wrapText="1"/>
    </xf>
    <xf numFmtId="3" fontId="0" fillId="59" borderId="90" xfId="0" applyNumberFormat="1" applyFill="1" applyBorder="1" applyAlignment="1">
      <alignment horizontal="center" vertical="center"/>
    </xf>
    <xf numFmtId="3" fontId="0" fillId="59" borderId="92" xfId="0" applyNumberFormat="1" applyFill="1" applyBorder="1" applyAlignment="1">
      <alignment horizontal="center" vertical="center"/>
    </xf>
    <xf numFmtId="170" fontId="0" fillId="0" borderId="95" xfId="0" applyNumberFormat="1" applyFill="1" applyBorder="1" applyAlignment="1">
      <alignment horizontal="center" vertical="center"/>
    </xf>
    <xf numFmtId="170" fontId="0" fillId="0" borderId="79" xfId="0" applyNumberFormat="1" applyFill="1" applyBorder="1" applyAlignment="1">
      <alignment horizontal="center" vertical="center"/>
    </xf>
    <xf numFmtId="0" fontId="13" fillId="4" borderId="12" xfId="0" applyFont="1" applyFill="1" applyBorder="1" applyAlignment="1">
      <alignment horizontal="right" vertical="center"/>
    </xf>
    <xf numFmtId="164" fontId="0" fillId="59" borderId="129" xfId="0" applyNumberFormat="1" applyFill="1" applyBorder="1" applyAlignment="1">
      <alignment horizontal="center" vertical="center"/>
    </xf>
    <xf numFmtId="164" fontId="0" fillId="59" borderId="103" xfId="0" applyNumberFormat="1" applyFill="1" applyBorder="1" applyAlignment="1">
      <alignment horizontal="center" vertical="center"/>
    </xf>
    <xf numFmtId="4" fontId="0" fillId="0" borderId="79" xfId="0" applyNumberFormat="1" applyFill="1" applyBorder="1" applyAlignment="1">
      <alignment horizontal="center" vertical="center"/>
    </xf>
    <xf numFmtId="171" fontId="0" fillId="0" borderId="95" xfId="0" applyNumberFormat="1" applyFill="1" applyBorder="1" applyAlignment="1">
      <alignment horizontal="center" vertical="center"/>
    </xf>
    <xf numFmtId="171" fontId="0" fillId="0" borderId="79" xfId="0" applyNumberFormat="1" applyFill="1" applyBorder="1" applyAlignment="1">
      <alignment horizontal="center" vertical="center"/>
    </xf>
    <xf numFmtId="0" fontId="10" fillId="4" borderId="93" xfId="0" applyFont="1" applyFill="1" applyBorder="1" applyAlignment="1">
      <alignment horizontal="center" vertical="center" wrapText="1"/>
    </xf>
    <xf numFmtId="164" fontId="0" fillId="59" borderId="80" xfId="0" applyNumberFormat="1" applyFill="1" applyBorder="1" applyAlignment="1">
      <alignment horizontal="center" vertical="center"/>
    </xf>
    <xf numFmtId="164" fontId="0" fillId="59" borderId="98" xfId="0" applyNumberFormat="1" applyFill="1" applyBorder="1" applyAlignment="1">
      <alignment horizontal="center" vertical="center"/>
    </xf>
    <xf numFmtId="170" fontId="0" fillId="0" borderId="93" xfId="0" applyNumberFormat="1" applyFill="1" applyBorder="1" applyAlignment="1">
      <alignment horizontal="center" vertical="center"/>
    </xf>
    <xf numFmtId="170" fontId="0" fillId="0" borderId="81" xfId="0" applyNumberFormat="1" applyFill="1" applyBorder="1" applyAlignment="1">
      <alignment horizontal="center" vertical="center"/>
    </xf>
    <xf numFmtId="3" fontId="13" fillId="0" borderId="58" xfId="0" applyNumberFormat="1" applyFont="1" applyBorder="1" applyAlignment="1">
      <alignment horizontal="center" vertical="center"/>
    </xf>
    <xf numFmtId="3" fontId="13" fillId="0" borderId="61" xfId="0" applyNumberFormat="1" applyFont="1" applyBorder="1" applyAlignment="1">
      <alignment horizontal="center" vertical="center"/>
    </xf>
    <xf numFmtId="170" fontId="13" fillId="0" borderId="12" xfId="0" applyNumberFormat="1" applyFont="1" applyFill="1" applyBorder="1" applyAlignment="1">
      <alignment horizontal="center" vertical="center"/>
    </xf>
    <xf numFmtId="3" fontId="0" fillId="0" borderId="61" xfId="0" applyNumberFormat="1" applyFill="1" applyBorder="1" applyAlignment="1">
      <alignment horizontal="center" vertical="center"/>
    </xf>
    <xf numFmtId="3" fontId="69" fillId="61" borderId="26" xfId="0" applyNumberFormat="1" applyFont="1" applyFill="1" applyBorder="1" applyAlignment="1">
      <alignment horizontal="center" vertical="center" wrapText="1"/>
    </xf>
    <xf numFmtId="3" fontId="69" fillId="61" borderId="29" xfId="0" applyNumberFormat="1" applyFont="1" applyFill="1" applyBorder="1" applyAlignment="1">
      <alignment horizontal="center" vertical="center" wrapText="1"/>
    </xf>
    <xf numFmtId="3" fontId="10" fillId="0" borderId="80" xfId="0" applyNumberFormat="1" applyFont="1" applyFill="1" applyBorder="1" applyAlignment="1">
      <alignment horizontal="center" vertical="center"/>
    </xf>
    <xf numFmtId="3" fontId="13" fillId="0" borderId="58" xfId="0" applyNumberFormat="1" applyFont="1" applyBorder="1" applyAlignment="1">
      <alignment horizontal="center" vertical="center" wrapText="1"/>
    </xf>
    <xf numFmtId="168" fontId="13" fillId="0" borderId="59" xfId="0" applyNumberFormat="1" applyFont="1" applyBorder="1" applyAlignment="1">
      <alignment horizontal="center" vertical="center" wrapText="1"/>
    </xf>
    <xf numFmtId="170" fontId="13" fillId="0" borderId="59" xfId="0" applyNumberFormat="1" applyFont="1" applyBorder="1" applyAlignment="1">
      <alignment horizontal="center" vertical="center" wrapText="1"/>
    </xf>
    <xf numFmtId="168" fontId="10" fillId="0" borderId="79" xfId="0" applyNumberFormat="1" applyFont="1" applyFill="1" applyBorder="1" applyAlignment="1">
      <alignment horizontal="center" vertical="center"/>
    </xf>
    <xf numFmtId="168" fontId="10" fillId="0" borderId="81" xfId="0" applyNumberFormat="1" applyFont="1" applyFill="1" applyBorder="1" applyAlignment="1">
      <alignment horizontal="center" vertical="center"/>
    </xf>
    <xf numFmtId="168" fontId="13" fillId="0" borderId="64" xfId="0" applyNumberFormat="1" applyFont="1" applyBorder="1" applyAlignment="1">
      <alignment horizontal="center" vertical="center" wrapText="1"/>
    </xf>
    <xf numFmtId="3" fontId="10" fillId="59" borderId="129" xfId="0" applyNumberFormat="1" applyFont="1" applyFill="1" applyBorder="1" applyAlignment="1">
      <alignment horizontal="center" vertical="center" wrapText="1"/>
    </xf>
    <xf numFmtId="0" fontId="10" fillId="59" borderId="91" xfId="0" applyFont="1" applyFill="1" applyBorder="1" applyAlignment="1">
      <alignment horizontal="center" vertical="center" wrapText="1"/>
    </xf>
    <xf numFmtId="3" fontId="10" fillId="59" borderId="91" xfId="0" applyNumberFormat="1" applyFont="1" applyFill="1" applyBorder="1" applyAlignment="1">
      <alignment horizontal="center" vertical="center" wrapText="1"/>
    </xf>
    <xf numFmtId="0" fontId="69" fillId="61" borderId="134" xfId="0" applyFont="1" applyFill="1" applyBorder="1" applyAlignment="1">
      <alignment horizontal="center" vertical="center" wrapText="1"/>
    </xf>
    <xf numFmtId="170" fontId="13" fillId="0" borderId="12" xfId="0" applyNumberFormat="1" applyFont="1" applyBorder="1" applyAlignment="1">
      <alignment horizontal="center" vertical="center" wrapText="1"/>
    </xf>
    <xf numFmtId="170" fontId="10" fillId="4" borderId="79" xfId="0" applyNumberFormat="1" applyFont="1" applyFill="1" applyBorder="1" applyAlignment="1">
      <alignment horizontal="center" vertical="center" wrapText="1"/>
    </xf>
    <xf numFmtId="3" fontId="10" fillId="59" borderId="78" xfId="0" applyNumberFormat="1" applyFont="1" applyFill="1" applyBorder="1" applyAlignment="1">
      <alignment horizontal="center" vertical="center" wrapText="1"/>
    </xf>
    <xf numFmtId="3" fontId="13" fillId="4" borderId="64" xfId="0" applyNumberFormat="1" applyFont="1" applyFill="1" applyBorder="1" applyAlignment="1">
      <alignment horizontal="center" vertical="center" wrapText="1"/>
    </xf>
    <xf numFmtId="170" fontId="10" fillId="4" borderId="93" xfId="0" applyNumberFormat="1" applyFont="1" applyFill="1" applyBorder="1" applyAlignment="1">
      <alignment horizontal="center" vertical="center"/>
    </xf>
    <xf numFmtId="170" fontId="13" fillId="4" borderId="65" xfId="0" applyNumberFormat="1" applyFont="1" applyFill="1" applyBorder="1" applyAlignment="1">
      <alignment horizontal="center" vertical="center" wrapText="1"/>
    </xf>
    <xf numFmtId="168" fontId="13" fillId="0" borderId="63" xfId="0" applyNumberFormat="1" applyFont="1" applyBorder="1" applyAlignment="1">
      <alignment horizontal="center" vertical="center" wrapText="1"/>
    </xf>
    <xf numFmtId="170" fontId="10" fillId="0" borderId="95" xfId="0" applyNumberFormat="1" applyFont="1" applyFill="1" applyBorder="1" applyAlignment="1">
      <alignment horizontal="center" vertical="center"/>
    </xf>
    <xf numFmtId="168" fontId="13" fillId="0" borderId="12" xfId="0" applyNumberFormat="1" applyFont="1" applyBorder="1" applyAlignment="1">
      <alignment horizontal="center" vertical="center" wrapText="1"/>
    </xf>
    <xf numFmtId="168" fontId="10" fillId="0" borderId="93" xfId="0" applyNumberFormat="1" applyFont="1" applyFill="1" applyBorder="1" applyAlignment="1">
      <alignment horizontal="center" vertical="center"/>
    </xf>
    <xf numFmtId="168" fontId="10" fillId="0" borderId="95" xfId="0" applyNumberFormat="1" applyFont="1" applyFill="1" applyBorder="1" applyAlignment="1">
      <alignment horizontal="center" vertical="center"/>
    </xf>
    <xf numFmtId="170" fontId="10" fillId="4" borderId="81" xfId="0" applyNumberFormat="1" applyFont="1" applyFill="1" applyBorder="1" applyAlignment="1">
      <alignment horizontal="center" vertical="center" wrapText="1"/>
    </xf>
    <xf numFmtId="0" fontId="10" fillId="59" borderId="80" xfId="0" applyFont="1" applyFill="1" applyBorder="1" applyAlignment="1">
      <alignment horizontal="center" vertical="center" wrapText="1"/>
    </xf>
    <xf numFmtId="3" fontId="10" fillId="59" borderId="80" xfId="0" applyNumberFormat="1" applyFont="1" applyFill="1" applyBorder="1" applyAlignment="1">
      <alignment horizontal="center" vertical="center" wrapText="1"/>
    </xf>
    <xf numFmtId="0" fontId="10" fillId="4" borderId="93" xfId="0" applyFont="1" applyFill="1" applyBorder="1" applyAlignment="1">
      <alignment horizontal="left" vertical="top" wrapText="1"/>
    </xf>
    <xf numFmtId="3" fontId="10" fillId="4" borderId="78" xfId="0" applyNumberFormat="1" applyFont="1" applyFill="1" applyBorder="1" applyAlignment="1">
      <alignment horizontal="center" vertical="center" wrapText="1"/>
    </xf>
    <xf numFmtId="0" fontId="10" fillId="4" borderId="95" xfId="0" applyFont="1" applyFill="1" applyBorder="1" applyAlignment="1">
      <alignment horizontal="left" vertical="top" wrapText="1"/>
    </xf>
    <xf numFmtId="0" fontId="10" fillId="59" borderId="92" xfId="0" applyFont="1" applyFill="1" applyBorder="1" applyAlignment="1">
      <alignment horizontal="center" vertical="center" wrapText="1"/>
    </xf>
    <xf numFmtId="3" fontId="10" fillId="4" borderId="91" xfId="0" applyNumberFormat="1" applyFont="1" applyFill="1" applyBorder="1" applyAlignment="1">
      <alignment horizontal="center" vertical="center" wrapText="1"/>
    </xf>
    <xf numFmtId="0" fontId="10" fillId="4" borderId="90" xfId="0" applyFont="1" applyFill="1" applyBorder="1" applyAlignment="1">
      <alignment horizontal="left" vertical="top" wrapText="1"/>
    </xf>
    <xf numFmtId="0" fontId="69" fillId="61" borderId="133" xfId="0" applyFont="1" applyFill="1" applyBorder="1" applyAlignment="1">
      <alignment horizontal="center" vertical="center" wrapText="1"/>
    </xf>
    <xf numFmtId="0" fontId="69" fillId="61" borderId="131" xfId="0" applyFont="1" applyFill="1" applyBorder="1" applyAlignment="1">
      <alignment horizontal="center" vertical="center" wrapText="1"/>
    </xf>
    <xf numFmtId="3" fontId="69" fillId="61" borderId="25" xfId="0" applyNumberFormat="1" applyFont="1" applyFill="1" applyBorder="1" applyAlignment="1">
      <alignment horizontal="center" vertical="center" wrapText="1"/>
    </xf>
    <xf numFmtId="0" fontId="10" fillId="41" borderId="131" xfId="19" applyFont="1" applyFill="1" applyBorder="1" applyAlignment="1">
      <alignment horizontal="center" wrapText="1"/>
    </xf>
    <xf numFmtId="0" fontId="69" fillId="60" borderId="25" xfId="19" applyFont="1" applyFill="1" applyBorder="1" applyAlignment="1">
      <alignment horizontal="center" vertical="center" wrapText="1"/>
    </xf>
    <xf numFmtId="3" fontId="10" fillId="40" borderId="99" xfId="19" applyNumberFormat="1" applyFont="1" applyFill="1" applyBorder="1" applyAlignment="1">
      <alignment horizontal="center" wrapText="1"/>
    </xf>
    <xf numFmtId="3" fontId="10" fillId="40" borderId="78" xfId="19" applyNumberFormat="1" applyFont="1" applyFill="1" applyBorder="1" applyAlignment="1">
      <alignment horizontal="center" wrapText="1"/>
    </xf>
    <xf numFmtId="3" fontId="10" fillId="40" borderId="80" xfId="19" applyNumberFormat="1" applyFont="1" applyFill="1" applyBorder="1" applyAlignment="1">
      <alignment horizontal="center" wrapText="1"/>
    </xf>
    <xf numFmtId="3" fontId="10" fillId="41" borderId="18" xfId="19" applyNumberFormat="1" applyFont="1" applyFill="1" applyBorder="1" applyAlignment="1">
      <alignment horizontal="center" wrapText="1"/>
    </xf>
    <xf numFmtId="3" fontId="10" fillId="41" borderId="131" xfId="19" applyNumberFormat="1" applyFont="1" applyFill="1" applyBorder="1" applyAlignment="1">
      <alignment horizontal="center" wrapText="1"/>
    </xf>
    <xf numFmtId="3" fontId="13" fillId="0" borderId="21" xfId="19" applyNumberFormat="1" applyFont="1" applyFill="1" applyBorder="1" applyAlignment="1">
      <alignment horizontal="center" wrapText="1"/>
    </xf>
    <xf numFmtId="170" fontId="10" fillId="39" borderId="80" xfId="19" applyNumberFormat="1" applyFont="1" applyFill="1" applyBorder="1" applyAlignment="1">
      <alignment horizontal="center" vertical="center" wrapText="1"/>
    </xf>
    <xf numFmtId="170" fontId="10" fillId="39" borderId="78" xfId="19" applyNumberFormat="1" applyFont="1" applyFill="1" applyBorder="1" applyAlignment="1">
      <alignment horizontal="center" vertical="center" wrapText="1"/>
    </xf>
    <xf numFmtId="170" fontId="10" fillId="40" borderId="78" xfId="19" applyNumberFormat="1" applyFont="1" applyFill="1" applyBorder="1" applyAlignment="1">
      <alignment horizontal="center" wrapText="1"/>
    </xf>
    <xf numFmtId="4" fontId="10" fillId="40" borderId="78" xfId="19" applyNumberFormat="1" applyFont="1" applyFill="1" applyBorder="1" applyAlignment="1">
      <alignment horizontal="center" wrapText="1"/>
    </xf>
    <xf numFmtId="171" fontId="10" fillId="40" borderId="78" xfId="19" applyNumberFormat="1" applyFont="1" applyFill="1" applyBorder="1" applyAlignment="1">
      <alignment horizontal="center" wrapText="1"/>
    </xf>
    <xf numFmtId="170" fontId="10" fillId="40" borderId="80" xfId="19" applyNumberFormat="1" applyFont="1" applyFill="1" applyBorder="1" applyAlignment="1">
      <alignment horizontal="center" wrapText="1"/>
    </xf>
    <xf numFmtId="4" fontId="10" fillId="40" borderId="91" xfId="19" applyNumberFormat="1" applyFont="1" applyFill="1" applyBorder="1" applyAlignment="1">
      <alignment horizontal="center" wrapText="1"/>
    </xf>
    <xf numFmtId="4" fontId="10" fillId="40" borderId="80" xfId="19" applyNumberFormat="1" applyFont="1" applyFill="1" applyBorder="1" applyAlignment="1">
      <alignment horizontal="center" wrapText="1"/>
    </xf>
    <xf numFmtId="170" fontId="10" fillId="41" borderId="131" xfId="19" applyNumberFormat="1" applyFont="1" applyFill="1" applyBorder="1" applyAlignment="1">
      <alignment horizontal="center" wrapText="1"/>
    </xf>
    <xf numFmtId="171" fontId="10" fillId="41" borderId="131" xfId="19" applyNumberFormat="1" applyFont="1" applyFill="1" applyBorder="1" applyAlignment="1">
      <alignment horizontal="center" wrapText="1"/>
    </xf>
    <xf numFmtId="170" fontId="13" fillId="0" borderId="21" xfId="19" applyNumberFormat="1" applyFont="1" applyFill="1" applyBorder="1" applyAlignment="1">
      <alignment horizontal="center" wrapText="1"/>
    </xf>
    <xf numFmtId="37" fontId="10" fillId="36" borderId="92" xfId="15" applyNumberFormat="1" applyFont="1" applyFill="1" applyBorder="1" applyAlignment="1">
      <alignment horizontal="center" vertical="center" wrapText="1"/>
    </xf>
    <xf numFmtId="0" fontId="10" fillId="40" borderId="105" xfId="19" applyFont="1" applyFill="1" applyBorder="1" applyAlignment="1">
      <alignment horizontal="center" wrapText="1"/>
    </xf>
    <xf numFmtId="37" fontId="10" fillId="36" borderId="107" xfId="15" applyNumberFormat="1" applyFont="1" applyFill="1" applyBorder="1" applyAlignment="1">
      <alignment horizontal="center" vertical="center" wrapText="1"/>
    </xf>
    <xf numFmtId="37" fontId="10" fillId="37" borderId="11" xfId="15" applyNumberFormat="1" applyFont="1" applyFill="1" applyBorder="1" applyAlignment="1">
      <alignment horizontal="center" vertical="center" wrapText="1"/>
    </xf>
    <xf numFmtId="37" fontId="10" fillId="37" borderId="133" xfId="15" applyNumberFormat="1" applyFont="1" applyFill="1" applyBorder="1" applyAlignment="1">
      <alignment horizontal="center" vertical="center" wrapText="1"/>
    </xf>
    <xf numFmtId="0" fontId="69" fillId="61" borderId="10" xfId="0" applyFont="1" applyFill="1" applyBorder="1" applyAlignment="1">
      <alignment horizontal="center" vertical="center" wrapText="1"/>
    </xf>
    <xf numFmtId="0" fontId="69" fillId="61" borderId="18" xfId="0" applyFont="1" applyFill="1" applyBorder="1" applyAlignment="1">
      <alignment horizontal="center" vertical="center" wrapText="1"/>
    </xf>
    <xf numFmtId="0" fontId="69" fillId="61" borderId="11" xfId="0" applyFont="1" applyFill="1" applyBorder="1" applyAlignment="1">
      <alignment horizontal="center" vertical="center" wrapText="1"/>
    </xf>
    <xf numFmtId="10" fontId="10" fillId="0" borderId="131" xfId="0" applyNumberFormat="1" applyFont="1" applyFill="1" applyBorder="1" applyAlignment="1">
      <alignment horizontal="center" vertical="center"/>
    </xf>
    <xf numFmtId="0" fontId="10" fillId="4" borderId="132" xfId="0" applyFont="1" applyFill="1" applyBorder="1" applyAlignment="1">
      <alignment horizontal="center" vertical="center"/>
    </xf>
    <xf numFmtId="3" fontId="28" fillId="0" borderId="131" xfId="0" applyNumberFormat="1" applyFont="1" applyFill="1" applyBorder="1" applyAlignment="1">
      <alignment horizontal="center" vertical="center" wrapText="1"/>
    </xf>
    <xf numFmtId="0" fontId="69" fillId="60" borderId="114" xfId="19" applyFont="1" applyFill="1" applyBorder="1" applyAlignment="1">
      <alignment horizontal="center" vertical="center" wrapText="1"/>
    </xf>
    <xf numFmtId="170" fontId="10" fillId="0" borderId="91" xfId="0" applyNumberFormat="1" applyFont="1" applyFill="1" applyBorder="1" applyAlignment="1">
      <alignment horizontal="center" vertical="center"/>
    </xf>
    <xf numFmtId="3" fontId="10" fillId="0" borderId="91" xfId="0" applyNumberFormat="1" applyFont="1" applyFill="1" applyBorder="1" applyAlignment="1">
      <alignment horizontal="center" vertical="center"/>
    </xf>
    <xf numFmtId="170" fontId="10" fillId="0" borderId="92" xfId="0" applyNumberFormat="1" applyFont="1" applyFill="1" applyBorder="1" applyAlignment="1">
      <alignment horizontal="center" vertical="center"/>
    </xf>
    <xf numFmtId="3" fontId="49" fillId="0" borderId="19" xfId="0" applyNumberFormat="1" applyFont="1" applyFill="1" applyBorder="1" applyAlignment="1">
      <alignment horizontal="center" vertical="center"/>
    </xf>
    <xf numFmtId="0" fontId="49" fillId="0" borderId="19" xfId="0" applyFont="1" applyFill="1" applyBorder="1" applyAlignment="1">
      <alignment horizontal="center" vertical="center"/>
    </xf>
    <xf numFmtId="170" fontId="13" fillId="4" borderId="59" xfId="0" applyNumberFormat="1" applyFont="1" applyFill="1" applyBorder="1" applyAlignment="1">
      <alignment horizontal="center" vertical="center"/>
    </xf>
    <xf numFmtId="170" fontId="13" fillId="4" borderId="58" xfId="0" applyNumberFormat="1" applyFont="1" applyFill="1" applyBorder="1" applyAlignment="1">
      <alignment horizontal="center" vertical="center"/>
    </xf>
    <xf numFmtId="0" fontId="19" fillId="4" borderId="0" xfId="0" applyFont="1" applyFill="1"/>
    <xf numFmtId="0" fontId="19" fillId="4" borderId="0" xfId="0" applyFont="1" applyFill="1" applyAlignment="1">
      <alignment horizontal="left" vertical="top"/>
    </xf>
    <xf numFmtId="0" fontId="19" fillId="4" borderId="0" xfId="0" applyFont="1" applyFill="1" applyAlignment="1">
      <alignment horizontal="center" vertical="center"/>
    </xf>
    <xf numFmtId="10" fontId="10" fillId="0" borderId="84" xfId="0" applyNumberFormat="1" applyFont="1" applyFill="1" applyBorder="1" applyAlignment="1">
      <alignment horizontal="center" vertical="center" wrapText="1"/>
    </xf>
    <xf numFmtId="173" fontId="10" fillId="0" borderId="109" xfId="0" applyNumberFormat="1" applyFont="1" applyFill="1" applyBorder="1" applyAlignment="1">
      <alignment horizontal="center" vertical="center"/>
    </xf>
    <xf numFmtId="2" fontId="10" fillId="4" borderId="95" xfId="0" applyNumberFormat="1" applyFont="1" applyFill="1" applyBorder="1" applyAlignment="1">
      <alignment horizontal="center" vertical="center"/>
    </xf>
    <xf numFmtId="2" fontId="10" fillId="4" borderId="81" xfId="0" applyNumberFormat="1" applyFont="1" applyFill="1" applyBorder="1" applyAlignment="1">
      <alignment horizontal="center" vertical="center"/>
    </xf>
    <xf numFmtId="2" fontId="10" fillId="0" borderId="79" xfId="0" applyNumberFormat="1" applyFont="1" applyFill="1" applyBorder="1" applyAlignment="1">
      <alignment horizontal="center" vertical="center"/>
    </xf>
    <xf numFmtId="167" fontId="10" fillId="4" borderId="79" xfId="0" applyNumberFormat="1" applyFont="1" applyFill="1" applyBorder="1" applyAlignment="1">
      <alignment horizontal="center" vertical="center"/>
    </xf>
    <xf numFmtId="3" fontId="13" fillId="0" borderId="64" xfId="0" applyNumberFormat="1" applyFont="1" applyBorder="1" applyAlignment="1">
      <alignment horizontal="center" vertical="center" wrapText="1"/>
    </xf>
    <xf numFmtId="0" fontId="10" fillId="4" borderId="89" xfId="0" applyFont="1" applyFill="1" applyBorder="1" applyAlignment="1">
      <alignment horizontal="center" vertical="center" wrapText="1"/>
    </xf>
    <xf numFmtId="3" fontId="28" fillId="0" borderId="58" xfId="0" applyNumberFormat="1" applyFont="1" applyFill="1" applyBorder="1" applyAlignment="1">
      <alignment horizontal="center" vertical="center"/>
    </xf>
    <xf numFmtId="3" fontId="28" fillId="0" borderId="18" xfId="0" applyNumberFormat="1" applyFont="1" applyFill="1" applyBorder="1" applyAlignment="1">
      <alignment horizontal="center" vertical="center"/>
    </xf>
    <xf numFmtId="170" fontId="10" fillId="0" borderId="99" xfId="0" applyNumberFormat="1" applyFont="1" applyFill="1" applyBorder="1" applyAlignment="1">
      <alignment horizontal="center" vertical="center"/>
    </xf>
    <xf numFmtId="3" fontId="10" fillId="0" borderId="99" xfId="0" applyNumberFormat="1" applyFont="1" applyFill="1" applyBorder="1" applyAlignment="1">
      <alignment horizontal="center" vertical="center"/>
    </xf>
    <xf numFmtId="170" fontId="10" fillId="0" borderId="100" xfId="0" applyNumberFormat="1" applyFont="1" applyFill="1" applyBorder="1" applyAlignment="1">
      <alignment horizontal="center" vertical="center"/>
    </xf>
    <xf numFmtId="4" fontId="45" fillId="59" borderId="131" xfId="0" applyNumberFormat="1" applyFont="1" applyFill="1" applyBorder="1" applyAlignment="1">
      <alignment horizontal="center" vertical="center"/>
    </xf>
    <xf numFmtId="4" fontId="45" fillId="59" borderId="133" xfId="0" applyNumberFormat="1" applyFont="1" applyFill="1" applyBorder="1" applyAlignment="1">
      <alignment horizontal="center" vertical="center"/>
    </xf>
    <xf numFmtId="3" fontId="10" fillId="0" borderId="131" xfId="0" applyNumberFormat="1" applyFont="1" applyFill="1" applyBorder="1" applyAlignment="1">
      <alignment horizontal="center" vertical="center"/>
    </xf>
    <xf numFmtId="3" fontId="10" fillId="0" borderId="137" xfId="0" applyNumberFormat="1" applyFont="1" applyFill="1" applyBorder="1" applyAlignment="1">
      <alignment horizontal="center" vertical="center"/>
    </xf>
    <xf numFmtId="3" fontId="45" fillId="0" borderId="21" xfId="0" applyNumberFormat="1" applyFont="1" applyFill="1" applyBorder="1" applyAlignment="1">
      <alignment horizontal="center" vertical="center" wrapText="1"/>
    </xf>
    <xf numFmtId="10" fontId="45" fillId="0" borderId="21" xfId="0" applyNumberFormat="1" applyFont="1" applyFill="1" applyBorder="1" applyAlignment="1">
      <alignment horizontal="center" vertical="center" wrapText="1"/>
    </xf>
    <xf numFmtId="4" fontId="45" fillId="0" borderId="21" xfId="0" applyNumberFormat="1" applyFont="1" applyFill="1" applyBorder="1" applyAlignment="1">
      <alignment horizontal="center" vertical="center" wrapText="1"/>
    </xf>
    <xf numFmtId="171" fontId="10" fillId="4" borderId="78" xfId="0" applyNumberFormat="1" applyFont="1" applyFill="1" applyBorder="1" applyAlignment="1">
      <alignment horizontal="center" vertical="center" wrapText="1"/>
    </xf>
    <xf numFmtId="0" fontId="69" fillId="61" borderId="86" xfId="0" applyFont="1" applyFill="1" applyBorder="1" applyAlignment="1">
      <alignment horizontal="center" vertical="center" wrapText="1"/>
    </xf>
    <xf numFmtId="0" fontId="10" fillId="0" borderId="136" xfId="0" applyFont="1" applyFill="1" applyBorder="1" applyAlignment="1">
      <alignment horizontal="center" vertical="center" wrapText="1"/>
    </xf>
    <xf numFmtId="3" fontId="10" fillId="4" borderId="139" xfId="0" applyNumberFormat="1" applyFont="1" applyFill="1" applyBorder="1" applyAlignment="1">
      <alignment horizontal="center" vertical="center"/>
    </xf>
    <xf numFmtId="0" fontId="69" fillId="61" borderId="132"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78" xfId="0" applyFont="1" applyFill="1" applyBorder="1" applyAlignment="1">
      <alignment horizontal="center" vertical="center" wrapText="1"/>
    </xf>
    <xf numFmtId="0" fontId="10" fillId="0" borderId="80" xfId="0" applyFont="1" applyFill="1" applyBorder="1" applyAlignment="1">
      <alignment horizontal="center" vertical="center" wrapText="1"/>
    </xf>
    <xf numFmtId="0" fontId="13" fillId="0" borderId="19" xfId="0" applyFont="1" applyFill="1" applyBorder="1" applyAlignment="1">
      <alignment horizontal="center" vertical="center" wrapText="1"/>
    </xf>
    <xf numFmtId="9" fontId="13" fillId="4" borderId="68" xfId="0" applyNumberFormat="1" applyFont="1" applyFill="1" applyBorder="1" applyAlignment="1">
      <alignment horizontal="center" vertical="center" wrapText="1"/>
    </xf>
    <xf numFmtId="166" fontId="19" fillId="4" borderId="0" xfId="0" applyNumberFormat="1" applyFont="1" applyFill="1" applyAlignment="1"/>
    <xf numFmtId="0" fontId="75" fillId="4" borderId="11" xfId="2" applyFont="1" applyFill="1" applyBorder="1" applyAlignment="1" applyProtection="1">
      <alignment horizontal="center" vertical="center" wrapText="1"/>
    </xf>
    <xf numFmtId="0" fontId="10" fillId="0" borderId="134" xfId="0" applyFont="1" applyFill="1" applyBorder="1" applyAlignment="1">
      <alignment horizontal="center" vertical="center" wrapText="1"/>
    </xf>
    <xf numFmtId="170" fontId="13" fillId="0" borderId="5" xfId="0" applyNumberFormat="1" applyFont="1" applyFill="1" applyBorder="1" applyAlignment="1">
      <alignment horizontal="center" vertical="center"/>
    </xf>
    <xf numFmtId="170" fontId="28" fillId="0" borderId="59" xfId="0" applyNumberFormat="1" applyFont="1" applyFill="1" applyBorder="1" applyAlignment="1">
      <alignment horizontal="center" vertical="center"/>
    </xf>
    <xf numFmtId="37" fontId="10" fillId="0" borderId="76" xfId="1" applyNumberFormat="1" applyFont="1" applyFill="1" applyBorder="1" applyAlignment="1">
      <alignment horizontal="center" vertical="center" wrapText="1"/>
    </xf>
    <xf numFmtId="37" fontId="10" fillId="0" borderId="80" xfId="1" applyNumberFormat="1" applyFont="1" applyFill="1" applyBorder="1" applyAlignment="1">
      <alignment horizontal="center" vertical="center" wrapText="1"/>
    </xf>
    <xf numFmtId="2" fontId="10" fillId="0" borderId="19" xfId="2" applyNumberFormat="1" applyFont="1" applyFill="1" applyBorder="1" applyAlignment="1" applyProtection="1">
      <alignment horizontal="center" vertical="center"/>
    </xf>
    <xf numFmtId="2" fontId="10" fillId="0" borderId="13" xfId="0" applyNumberFormat="1" applyFont="1" applyFill="1" applyBorder="1" applyAlignment="1">
      <alignment horizontal="center" vertical="center"/>
    </xf>
    <xf numFmtId="3" fontId="10" fillId="0" borderId="55" xfId="3" applyNumberFormat="1" applyFont="1" applyFill="1" applyBorder="1" applyAlignment="1">
      <alignment horizontal="center"/>
    </xf>
    <xf numFmtId="181" fontId="13" fillId="0" borderId="57" xfId="0" applyNumberFormat="1" applyFont="1" applyFill="1" applyBorder="1" applyAlignment="1">
      <alignment horizontal="center" vertical="center"/>
    </xf>
    <xf numFmtId="174" fontId="45" fillId="0" borderId="55" xfId="0" applyNumberFormat="1" applyFont="1" applyFill="1" applyBorder="1" applyAlignment="1">
      <alignment horizontal="center" vertical="center" wrapText="1"/>
    </xf>
    <xf numFmtId="0" fontId="19" fillId="4" borderId="65" xfId="0" applyFont="1" applyFill="1" applyBorder="1" applyAlignment="1">
      <alignment horizontal="center" vertical="center"/>
    </xf>
    <xf numFmtId="0" fontId="19" fillId="4" borderId="43" xfId="0" applyFont="1" applyFill="1" applyBorder="1" applyAlignment="1">
      <alignment horizontal="center" vertical="top"/>
    </xf>
    <xf numFmtId="4" fontId="19" fillId="0" borderId="13" xfId="0" applyNumberFormat="1" applyFont="1" applyFill="1" applyBorder="1" applyAlignment="1">
      <alignment horizontal="center" vertical="center" wrapText="1"/>
    </xf>
    <xf numFmtId="3" fontId="0" fillId="4" borderId="105" xfId="0" applyNumberFormat="1" applyFill="1" applyBorder="1" applyAlignment="1">
      <alignment horizontal="center" vertical="center"/>
    </xf>
    <xf numFmtId="3" fontId="0" fillId="59" borderId="105" xfId="0" applyNumberFormat="1" applyFill="1" applyBorder="1" applyAlignment="1">
      <alignment horizontal="center" vertical="center"/>
    </xf>
    <xf numFmtId="4" fontId="0" fillId="4" borderId="105" xfId="0" applyNumberFormat="1" applyFill="1" applyBorder="1" applyAlignment="1">
      <alignment horizontal="center" vertical="center"/>
    </xf>
    <xf numFmtId="181" fontId="0" fillId="4" borderId="105" xfId="0" applyNumberFormat="1" applyFill="1" applyBorder="1" applyAlignment="1">
      <alignment horizontal="center" vertical="center"/>
    </xf>
    <xf numFmtId="170" fontId="0" fillId="4" borderId="105" xfId="0" applyNumberFormat="1" applyFill="1" applyBorder="1" applyAlignment="1">
      <alignment horizontal="center" vertical="center"/>
    </xf>
    <xf numFmtId="184" fontId="0" fillId="59" borderId="79" xfId="0" applyNumberFormat="1" applyFill="1" applyBorder="1" applyAlignment="1">
      <alignment horizontal="center" vertical="center"/>
    </xf>
    <xf numFmtId="3" fontId="0" fillId="4" borderId="103" xfId="0" applyNumberFormat="1" applyFill="1" applyBorder="1" applyAlignment="1">
      <alignment horizontal="center" vertical="center"/>
    </xf>
    <xf numFmtId="3" fontId="0" fillId="4" borderId="106" xfId="0" applyNumberFormat="1" applyFill="1" applyBorder="1" applyAlignment="1">
      <alignment horizontal="center" vertical="center"/>
    </xf>
    <xf numFmtId="181" fontId="0" fillId="4" borderId="78" xfId="0" applyNumberFormat="1" applyFill="1" applyBorder="1" applyAlignment="1">
      <alignment horizontal="center" vertical="center"/>
    </xf>
    <xf numFmtId="184" fontId="0" fillId="59" borderId="105" xfId="0" applyNumberFormat="1" applyFill="1" applyBorder="1" applyAlignment="1">
      <alignment horizontal="center" vertical="center"/>
    </xf>
    <xf numFmtId="175" fontId="0" fillId="4" borderId="107" xfId="0" applyNumberFormat="1" applyFill="1" applyBorder="1" applyAlignment="1">
      <alignment horizontal="center" vertical="center"/>
    </xf>
    <xf numFmtId="170" fontId="13" fillId="0" borderId="68" xfId="0" applyNumberFormat="1" applyFont="1" applyFill="1" applyBorder="1" applyAlignment="1">
      <alignment horizontal="center" vertical="center"/>
    </xf>
    <xf numFmtId="3" fontId="12" fillId="4" borderId="0" xfId="0" applyNumberFormat="1" applyFont="1" applyFill="1"/>
    <xf numFmtId="185" fontId="12" fillId="4" borderId="0" xfId="0" applyNumberFormat="1" applyFont="1" applyFill="1"/>
    <xf numFmtId="0" fontId="69" fillId="61" borderId="9" xfId="0" applyFont="1" applyFill="1" applyBorder="1" applyAlignment="1">
      <alignment horizontal="center" vertical="center" wrapText="1"/>
    </xf>
    <xf numFmtId="170" fontId="11" fillId="4" borderId="0" xfId="0" applyNumberFormat="1" applyFont="1" applyFill="1" applyAlignment="1"/>
    <xf numFmtId="171" fontId="10" fillId="0" borderId="132" xfId="0" applyNumberFormat="1" applyFont="1" applyFill="1" applyBorder="1" applyAlignment="1">
      <alignment horizontal="center" vertical="center"/>
    </xf>
    <xf numFmtId="171" fontId="13" fillId="0" borderId="12" xfId="0" applyNumberFormat="1" applyFont="1" applyFill="1" applyBorder="1" applyAlignment="1">
      <alignment horizontal="center" vertical="center"/>
    </xf>
    <xf numFmtId="3" fontId="11" fillId="4" borderId="133" xfId="0" applyNumberFormat="1" applyFont="1" applyFill="1" applyBorder="1" applyAlignment="1">
      <alignment horizontal="center" vertical="center"/>
    </xf>
    <xf numFmtId="37" fontId="10" fillId="39" borderId="77" xfId="19" applyNumberFormat="1" applyFont="1" applyFill="1" applyBorder="1" applyAlignment="1">
      <alignment horizontal="center" vertical="center" wrapText="1"/>
    </xf>
    <xf numFmtId="37" fontId="10" fillId="39" borderId="79" xfId="19" applyNumberFormat="1" applyFont="1" applyFill="1" applyBorder="1" applyAlignment="1">
      <alignment horizontal="center" vertical="center" wrapText="1"/>
    </xf>
    <xf numFmtId="37" fontId="10" fillId="39" borderId="81" xfId="19" applyNumberFormat="1" applyFont="1" applyFill="1" applyBorder="1" applyAlignment="1">
      <alignment horizontal="center" vertical="center" wrapText="1"/>
    </xf>
    <xf numFmtId="37" fontId="10" fillId="39" borderId="92" xfId="19" applyNumberFormat="1" applyFont="1" applyFill="1" applyBorder="1" applyAlignment="1">
      <alignment horizontal="center" vertical="center" wrapText="1"/>
    </xf>
    <xf numFmtId="37" fontId="10" fillId="39" borderId="59" xfId="19" applyNumberFormat="1" applyFont="1" applyFill="1" applyBorder="1" applyAlignment="1">
      <alignment horizontal="center" vertical="center" wrapText="1"/>
    </xf>
    <xf numFmtId="37" fontId="10" fillId="37" borderId="59" xfId="15" applyNumberFormat="1" applyFont="1" applyFill="1" applyBorder="1" applyAlignment="1">
      <alignment horizontal="center" vertical="center" wrapText="1"/>
    </xf>
    <xf numFmtId="9" fontId="0" fillId="4" borderId="99" xfId="0" applyNumberFormat="1" applyFill="1" applyBorder="1" applyAlignment="1">
      <alignment horizontal="center" vertical="center"/>
    </xf>
    <xf numFmtId="9" fontId="0" fillId="4" borderId="97" xfId="0" applyNumberFormat="1" applyFill="1" applyBorder="1" applyAlignment="1">
      <alignment horizontal="center" vertical="center"/>
    </xf>
    <xf numFmtId="10" fontId="10" fillId="4" borderId="68" xfId="0" applyNumberFormat="1" applyFont="1" applyFill="1" applyBorder="1" applyAlignment="1">
      <alignment horizontal="center" vertical="center"/>
    </xf>
    <xf numFmtId="37" fontId="13" fillId="0" borderId="5" xfId="19" applyNumberFormat="1" applyFont="1" applyFill="1" applyBorder="1" applyAlignment="1">
      <alignment horizontal="center" wrapText="1"/>
    </xf>
    <xf numFmtId="0" fontId="13" fillId="0" borderId="0" xfId="0" applyFont="1"/>
    <xf numFmtId="0" fontId="30" fillId="0" borderId="0" xfId="176"/>
    <xf numFmtId="0" fontId="28" fillId="0" borderId="132" xfId="0" applyFont="1" applyFill="1" applyBorder="1" applyAlignment="1">
      <alignment horizontal="center" vertical="center"/>
    </xf>
    <xf numFmtId="167" fontId="28" fillId="0" borderId="58" xfId="0" applyNumberFormat="1" applyFont="1" applyFill="1" applyBorder="1" applyAlignment="1">
      <alignment horizontal="center" vertical="center"/>
    </xf>
    <xf numFmtId="166" fontId="28" fillId="0" borderId="58" xfId="110" applyNumberFormat="1" applyFont="1" applyFill="1" applyBorder="1" applyAlignment="1">
      <alignment horizontal="center" vertical="center" wrapText="1"/>
    </xf>
    <xf numFmtId="0" fontId="69" fillId="61" borderId="7" xfId="110" applyFont="1" applyFill="1" applyBorder="1" applyAlignment="1">
      <alignment horizontal="center" vertical="center" wrapText="1"/>
    </xf>
    <xf numFmtId="0" fontId="69" fillId="61" borderId="8" xfId="110" applyFont="1" applyFill="1" applyBorder="1" applyAlignment="1">
      <alignment horizontal="center" vertical="center" wrapText="1"/>
    </xf>
    <xf numFmtId="0" fontId="69" fillId="61" borderId="9" xfId="110" applyFont="1" applyFill="1" applyBorder="1" applyAlignment="1">
      <alignment horizontal="center" vertical="center" wrapText="1"/>
    </xf>
    <xf numFmtId="0" fontId="69" fillId="61" borderId="132" xfId="110" applyFont="1" applyFill="1" applyBorder="1" applyAlignment="1">
      <alignment horizontal="center" vertical="center"/>
    </xf>
    <xf numFmtId="0" fontId="69" fillId="61" borderId="131" xfId="110" applyFont="1" applyFill="1" applyBorder="1" applyAlignment="1">
      <alignment horizontal="center" vertical="center" wrapText="1"/>
    </xf>
    <xf numFmtId="169" fontId="28" fillId="0" borderId="58" xfId="0" applyNumberFormat="1" applyFont="1" applyFill="1" applyBorder="1" applyAlignment="1">
      <alignment horizontal="center" vertical="center"/>
    </xf>
    <xf numFmtId="0" fontId="45" fillId="0" borderId="12" xfId="110" applyFont="1" applyFill="1" applyBorder="1" applyAlignment="1">
      <alignment horizontal="center" vertical="center" wrapText="1"/>
    </xf>
    <xf numFmtId="1" fontId="45" fillId="0" borderId="58" xfId="0" applyNumberFormat="1" applyFont="1" applyFill="1" applyBorder="1" applyAlignment="1">
      <alignment horizontal="center" vertical="center"/>
    </xf>
    <xf numFmtId="169" fontId="27" fillId="4" borderId="0" xfId="10" applyNumberFormat="1" applyFont="1" applyFill="1"/>
    <xf numFmtId="167" fontId="27" fillId="4" borderId="0" xfId="10" applyNumberFormat="1" applyFont="1" applyFill="1"/>
    <xf numFmtId="0" fontId="28" fillId="0" borderId="0" xfId="0" applyFont="1"/>
    <xf numFmtId="0" fontId="12" fillId="0" borderId="0" xfId="0" applyFont="1" applyFill="1"/>
    <xf numFmtId="9" fontId="28" fillId="0" borderId="0" xfId="3" applyFont="1" applyFill="1" applyBorder="1" applyAlignment="1">
      <alignment horizontal="center" vertical="center"/>
    </xf>
    <xf numFmtId="9" fontId="10" fillId="0" borderId="0" xfId="3" applyFont="1" applyFill="1" applyBorder="1" applyAlignment="1">
      <alignment horizontal="center" vertical="center"/>
    </xf>
    <xf numFmtId="43" fontId="28" fillId="0" borderId="0" xfId="0" applyNumberFormat="1" applyFont="1" applyFill="1" applyBorder="1"/>
    <xf numFmtId="164" fontId="28" fillId="0" borderId="0" xfId="0" applyNumberFormat="1" applyFont="1" applyFill="1" applyBorder="1"/>
    <xf numFmtId="43" fontId="28" fillId="0" borderId="0" xfId="1" applyFont="1" applyFill="1" applyBorder="1"/>
    <xf numFmtId="0" fontId="28" fillId="0" borderId="0" xfId="0" applyFont="1" applyFill="1"/>
    <xf numFmtId="0" fontId="18" fillId="0" borderId="11" xfId="2" applyFill="1" applyBorder="1" applyAlignment="1" applyProtection="1">
      <alignment horizontal="center" vertical="center"/>
    </xf>
    <xf numFmtId="43" fontId="28" fillId="0" borderId="0" xfId="0" applyNumberFormat="1" applyFont="1" applyFill="1" applyBorder="1" applyAlignment="1">
      <alignment horizontal="center" vertical="center"/>
    </xf>
    <xf numFmtId="0" fontId="18" fillId="0" borderId="133" xfId="2" applyBorder="1" applyAlignment="1" applyProtection="1">
      <alignment horizontal="center" vertical="center"/>
    </xf>
    <xf numFmtId="0" fontId="18" fillId="0" borderId="59" xfId="2" applyBorder="1" applyAlignment="1" applyProtection="1">
      <alignment horizontal="center" vertical="center"/>
    </xf>
    <xf numFmtId="0" fontId="18" fillId="0" borderId="68" xfId="2" applyBorder="1" applyAlignment="1" applyProtection="1">
      <alignment horizontal="center" vertical="center"/>
    </xf>
    <xf numFmtId="3" fontId="12" fillId="0" borderId="0" xfId="0" applyNumberFormat="1" applyFont="1" applyFill="1"/>
    <xf numFmtId="0" fontId="69" fillId="61" borderId="9" xfId="0" applyFont="1" applyFill="1" applyBorder="1" applyAlignment="1">
      <alignment horizontal="center" vertical="center" wrapText="1"/>
    </xf>
    <xf numFmtId="0" fontId="82" fillId="0" borderId="132" xfId="0" applyFont="1" applyFill="1" applyBorder="1" applyAlignment="1">
      <alignment horizontal="center" vertical="center" wrapText="1"/>
    </xf>
    <xf numFmtId="0" fontId="82" fillId="0" borderId="12" xfId="0" applyFont="1" applyFill="1" applyBorder="1" applyAlignment="1">
      <alignment horizontal="center" vertical="center" wrapText="1"/>
    </xf>
    <xf numFmtId="9" fontId="45" fillId="0" borderId="59" xfId="1" applyNumberFormat="1" applyFont="1" applyFill="1" applyBorder="1" applyAlignment="1">
      <alignment horizontal="center" vertical="center"/>
    </xf>
    <xf numFmtId="168" fontId="10" fillId="0" borderId="0" xfId="0" applyNumberFormat="1" applyFont="1" applyFill="1" applyBorder="1" applyAlignment="1">
      <alignment horizontal="center" vertical="center"/>
    </xf>
    <xf numFmtId="168" fontId="10" fillId="0" borderId="66" xfId="0" applyNumberFormat="1" applyFont="1" applyFill="1" applyBorder="1" applyAlignment="1">
      <alignment horizontal="center" vertical="center"/>
    </xf>
    <xf numFmtId="0" fontId="69" fillId="61" borderId="9" xfId="0" applyFont="1" applyFill="1" applyBorder="1" applyAlignment="1">
      <alignment horizontal="center" vertical="center" wrapText="1"/>
    </xf>
    <xf numFmtId="9" fontId="10" fillId="0" borderId="78" xfId="3" applyFont="1" applyFill="1" applyBorder="1" applyAlignment="1">
      <alignment horizontal="center" vertical="center"/>
    </xf>
    <xf numFmtId="170" fontId="28" fillId="0" borderId="78" xfId="1" applyNumberFormat="1" applyFont="1" applyFill="1" applyBorder="1" applyAlignment="1">
      <alignment horizontal="center" vertical="center"/>
    </xf>
    <xf numFmtId="3" fontId="28" fillId="0" borderId="79" xfId="1" applyNumberFormat="1" applyFont="1" applyFill="1" applyBorder="1" applyAlignment="1">
      <alignment horizontal="center" vertical="center"/>
    </xf>
    <xf numFmtId="0" fontId="28" fillId="0" borderId="95" xfId="0" applyFont="1" applyFill="1" applyBorder="1" applyAlignment="1">
      <alignment horizontal="center" vertical="center"/>
    </xf>
    <xf numFmtId="1" fontId="10" fillId="0" borderId="78" xfId="0" applyNumberFormat="1" applyFont="1" applyFill="1" applyBorder="1" applyAlignment="1">
      <alignment horizontal="center" vertical="center"/>
    </xf>
    <xf numFmtId="3" fontId="28" fillId="67" borderId="78" xfId="1" applyNumberFormat="1" applyFont="1" applyFill="1" applyBorder="1" applyAlignment="1">
      <alignment horizontal="center" vertical="center"/>
    </xf>
    <xf numFmtId="9" fontId="10" fillId="67" borderId="78" xfId="3" applyFont="1" applyFill="1" applyBorder="1" applyAlignment="1">
      <alignment horizontal="center" vertical="center"/>
    </xf>
    <xf numFmtId="0" fontId="83" fillId="0" borderId="95" xfId="0" applyFont="1" applyFill="1" applyBorder="1" applyAlignment="1">
      <alignment horizontal="center" vertical="center"/>
    </xf>
    <xf numFmtId="9" fontId="28" fillId="0" borderId="104" xfId="3" applyFont="1" applyFill="1" applyBorder="1" applyAlignment="1">
      <alignment horizontal="center" vertical="center"/>
    </xf>
    <xf numFmtId="3" fontId="28" fillId="67" borderId="105" xfId="1" applyNumberFormat="1" applyFont="1" applyFill="1" applyBorder="1" applyAlignment="1">
      <alignment horizontal="center" vertical="center"/>
    </xf>
    <xf numFmtId="9" fontId="10" fillId="67" borderId="105" xfId="3" applyFont="1" applyFill="1" applyBorder="1" applyAlignment="1">
      <alignment horizontal="center" vertical="center"/>
    </xf>
    <xf numFmtId="0" fontId="18" fillId="0" borderId="45" xfId="2" applyFill="1" applyBorder="1" applyAlignment="1" applyProtection="1">
      <alignment horizontal="center" vertical="center"/>
    </xf>
    <xf numFmtId="9" fontId="10" fillId="0" borderId="97" xfId="3" applyFont="1" applyFill="1" applyBorder="1" applyAlignment="1">
      <alignment horizontal="center" vertical="center"/>
    </xf>
    <xf numFmtId="170" fontId="28" fillId="0" borderId="97" xfId="1" applyNumberFormat="1" applyFont="1" applyFill="1" applyBorder="1" applyAlignment="1">
      <alignment horizontal="center" vertical="center"/>
    </xf>
    <xf numFmtId="3" fontId="28" fillId="0" borderId="108" xfId="1" applyNumberFormat="1" applyFont="1" applyFill="1" applyBorder="1" applyAlignment="1">
      <alignment horizontal="center" vertical="center"/>
    </xf>
    <xf numFmtId="3" fontId="13" fillId="4" borderId="139" xfId="0" applyNumberFormat="1" applyFont="1" applyFill="1" applyBorder="1" applyAlignment="1">
      <alignment horizontal="center" vertical="center"/>
    </xf>
    <xf numFmtId="3" fontId="13" fillId="67" borderId="21" xfId="0" applyNumberFormat="1" applyFont="1" applyFill="1" applyBorder="1" applyAlignment="1">
      <alignment horizontal="center" vertical="center"/>
    </xf>
    <xf numFmtId="170" fontId="13" fillId="67" borderId="21" xfId="0" applyNumberFormat="1" applyFont="1" applyFill="1" applyBorder="1" applyAlignment="1">
      <alignment horizontal="center" vertical="center"/>
    </xf>
    <xf numFmtId="3" fontId="13" fillId="4" borderId="5" xfId="0" applyNumberFormat="1" applyFont="1" applyFill="1" applyBorder="1" applyAlignment="1">
      <alignment horizontal="center" vertical="center"/>
    </xf>
    <xf numFmtId="3" fontId="13" fillId="4" borderId="42" xfId="0" applyNumberFormat="1" applyFont="1" applyFill="1" applyBorder="1" applyAlignment="1">
      <alignment horizontal="center" vertical="center"/>
    </xf>
    <xf numFmtId="0" fontId="10" fillId="4" borderId="0" xfId="0" applyFont="1" applyFill="1" applyAlignment="1">
      <alignment horizontal="left" vertical="top" wrapText="1"/>
    </xf>
    <xf numFmtId="0" fontId="69" fillId="61" borderId="10" xfId="0" applyFont="1" applyFill="1" applyBorder="1" applyAlignment="1">
      <alignment horizontal="center" vertical="center" wrapText="1"/>
    </xf>
    <xf numFmtId="0" fontId="69" fillId="61" borderId="18" xfId="0" applyFont="1" applyFill="1" applyBorder="1" applyAlignment="1">
      <alignment horizontal="center" vertical="center" wrapText="1"/>
    </xf>
    <xf numFmtId="0" fontId="69" fillId="61" borderId="11" xfId="0" applyFont="1" applyFill="1" applyBorder="1" applyAlignment="1">
      <alignment horizontal="center" vertical="center" wrapText="1"/>
    </xf>
    <xf numFmtId="0" fontId="69" fillId="61" borderId="9" xfId="0" applyFont="1" applyFill="1" applyBorder="1" applyAlignment="1">
      <alignment horizontal="center" vertical="center" wrapText="1"/>
    </xf>
    <xf numFmtId="0" fontId="18" fillId="4" borderId="65" xfId="2" applyFill="1" applyBorder="1" applyAlignment="1" applyProtection="1">
      <alignment horizontal="center" vertical="center" wrapText="1"/>
    </xf>
    <xf numFmtId="0" fontId="13" fillId="4" borderId="0" xfId="0" applyFont="1" applyFill="1" applyAlignment="1">
      <alignment horizontal="left" vertical="top"/>
    </xf>
    <xf numFmtId="0" fontId="12" fillId="4" borderId="131" xfId="0" applyFont="1" applyFill="1" applyBorder="1" applyAlignment="1">
      <alignment horizontal="center" vertical="center"/>
    </xf>
    <xf numFmtId="0" fontId="10" fillId="4" borderId="131" xfId="0" applyFont="1" applyFill="1" applyBorder="1" applyAlignment="1">
      <alignment horizontal="center" vertical="center"/>
    </xf>
    <xf numFmtId="0" fontId="12" fillId="4" borderId="133" xfId="0" applyFont="1" applyFill="1" applyBorder="1" applyAlignment="1">
      <alignment horizontal="center" vertical="center"/>
    </xf>
    <xf numFmtId="0" fontId="28" fillId="0" borderId="140" xfId="0" applyFont="1" applyFill="1" applyBorder="1" applyAlignment="1">
      <alignment horizontal="center" vertical="center"/>
    </xf>
    <xf numFmtId="166" fontId="10" fillId="0" borderId="78" xfId="0" applyNumberFormat="1" applyFont="1" applyFill="1" applyBorder="1" applyAlignment="1">
      <alignment horizontal="center" vertical="center"/>
    </xf>
    <xf numFmtId="0" fontId="13" fillId="4" borderId="132" xfId="0" applyFont="1" applyFill="1" applyBorder="1" applyAlignment="1">
      <alignment horizontal="center" vertical="center" wrapText="1"/>
    </xf>
    <xf numFmtId="0" fontId="13" fillId="4" borderId="131" xfId="0" applyFont="1" applyFill="1" applyBorder="1" applyAlignment="1">
      <alignment horizontal="center" vertical="center" wrapText="1"/>
    </xf>
    <xf numFmtId="0" fontId="13" fillId="4" borderId="133" xfId="0" applyFont="1" applyFill="1" applyBorder="1" applyAlignment="1">
      <alignment horizontal="center" vertical="center" wrapText="1"/>
    </xf>
    <xf numFmtId="1" fontId="12" fillId="0" borderId="132" xfId="0" applyNumberFormat="1" applyFont="1" applyFill="1" applyBorder="1" applyAlignment="1">
      <alignment horizontal="center" vertical="center"/>
    </xf>
    <xf numFmtId="49" fontId="12" fillId="0" borderId="131" xfId="0" applyNumberFormat="1" applyFont="1" applyFill="1" applyBorder="1" applyAlignment="1">
      <alignment horizontal="center" vertical="center"/>
    </xf>
    <xf numFmtId="49" fontId="10" fillId="0" borderId="131" xfId="0" applyNumberFormat="1" applyFont="1" applyFill="1" applyBorder="1" applyAlignment="1">
      <alignment horizontal="center" vertical="center"/>
    </xf>
    <xf numFmtId="1" fontId="12" fillId="0" borderId="84" xfId="0" applyNumberFormat="1" applyFont="1" applyFill="1" applyBorder="1" applyAlignment="1">
      <alignment horizontal="center" vertical="center"/>
    </xf>
    <xf numFmtId="49" fontId="12" fillId="0" borderId="137" xfId="0" applyNumberFormat="1" applyFont="1" applyFill="1" applyBorder="1" applyAlignment="1">
      <alignment horizontal="center" vertical="center"/>
    </xf>
    <xf numFmtId="0" fontId="10" fillId="4" borderId="137" xfId="0" applyFont="1" applyFill="1" applyBorder="1" applyAlignment="1">
      <alignment horizontal="center" vertical="center"/>
    </xf>
    <xf numFmtId="0" fontId="12" fillId="4" borderId="137" xfId="0" applyFont="1" applyFill="1" applyBorder="1" applyAlignment="1">
      <alignment horizontal="center" vertical="center"/>
    </xf>
    <xf numFmtId="0" fontId="12" fillId="4" borderId="68" xfId="0" applyFont="1" applyFill="1" applyBorder="1" applyAlignment="1">
      <alignment horizontal="center" vertical="center"/>
    </xf>
    <xf numFmtId="171" fontId="13" fillId="4" borderId="21" xfId="0" applyNumberFormat="1" applyFont="1" applyFill="1" applyBorder="1" applyAlignment="1">
      <alignment horizontal="center" vertical="center"/>
    </xf>
    <xf numFmtId="181" fontId="13" fillId="4" borderId="5" xfId="0" applyNumberFormat="1" applyFont="1" applyFill="1" applyBorder="1" applyAlignment="1">
      <alignment horizontal="center" vertical="center"/>
    </xf>
    <xf numFmtId="3" fontId="10" fillId="4" borderId="58" xfId="0" applyNumberFormat="1" applyFont="1" applyFill="1" applyBorder="1" applyAlignment="1">
      <alignment horizontal="center" vertical="center"/>
    </xf>
    <xf numFmtId="170" fontId="10" fillId="4" borderId="58" xfId="0" applyNumberFormat="1" applyFont="1" applyFill="1" applyBorder="1" applyAlignment="1">
      <alignment horizontal="center" vertical="center"/>
    </xf>
    <xf numFmtId="0" fontId="83" fillId="0" borderId="96" xfId="0" applyFont="1" applyFill="1" applyBorder="1" applyAlignment="1">
      <alignment horizontal="center" vertical="center"/>
    </xf>
    <xf numFmtId="0" fontId="82" fillId="0" borderId="7" xfId="0" applyFont="1" applyFill="1" applyBorder="1" applyAlignment="1">
      <alignment horizontal="center" vertical="center" wrapText="1"/>
    </xf>
    <xf numFmtId="37" fontId="28" fillId="0" borderId="9" xfId="0" applyNumberFormat="1" applyFont="1" applyFill="1" applyBorder="1" applyAlignment="1">
      <alignment horizontal="center" vertical="center"/>
    </xf>
    <xf numFmtId="9" fontId="13" fillId="0" borderId="58" xfId="3" applyFont="1" applyFill="1" applyBorder="1" applyAlignment="1">
      <alignment horizontal="center" vertical="center"/>
    </xf>
    <xf numFmtId="0" fontId="69" fillId="61" borderId="128" xfId="0" applyFont="1" applyFill="1" applyBorder="1" applyAlignment="1">
      <alignment horizontal="center" vertical="center" wrapText="1"/>
    </xf>
    <xf numFmtId="0" fontId="45" fillId="0" borderId="11" xfId="0" applyFont="1" applyFill="1" applyBorder="1" applyAlignment="1">
      <alignment horizontal="center" vertical="center" wrapText="1"/>
    </xf>
    <xf numFmtId="3" fontId="10" fillId="0" borderId="79" xfId="0" applyNumberFormat="1" applyFont="1" applyFill="1" applyBorder="1" applyAlignment="1">
      <alignment horizontal="center" vertical="center"/>
    </xf>
    <xf numFmtId="3" fontId="13" fillId="4" borderId="58" xfId="0" applyNumberFormat="1" applyFont="1" applyFill="1" applyBorder="1" applyAlignment="1">
      <alignment horizontal="center" vertical="center" wrapText="1"/>
    </xf>
    <xf numFmtId="9" fontId="27" fillId="4" borderId="0" xfId="10" applyNumberFormat="1" applyFont="1" applyFill="1"/>
    <xf numFmtId="3" fontId="13" fillId="4" borderId="59" xfId="0" applyNumberFormat="1" applyFont="1" applyFill="1" applyBorder="1" applyAlignment="1">
      <alignment horizontal="center" vertical="center" wrapText="1"/>
    </xf>
    <xf numFmtId="3" fontId="50" fillId="0" borderId="76" xfId="0" applyNumberFormat="1" applyFont="1" applyFill="1" applyBorder="1" applyAlignment="1">
      <alignment horizontal="center" vertical="center"/>
    </xf>
    <xf numFmtId="3" fontId="50" fillId="0" borderId="78" xfId="0" applyNumberFormat="1" applyFont="1" applyFill="1" applyBorder="1" applyAlignment="1">
      <alignment horizontal="center" vertical="center"/>
    </xf>
    <xf numFmtId="0" fontId="50" fillId="0" borderId="99" xfId="0" applyFont="1" applyFill="1" applyBorder="1" applyAlignment="1">
      <alignment horizontal="center" vertical="center"/>
    </xf>
    <xf numFmtId="3" fontId="50" fillId="0" borderId="99" xfId="0" applyNumberFormat="1" applyFont="1" applyFill="1" applyBorder="1" applyAlignment="1">
      <alignment horizontal="center" vertical="center"/>
    </xf>
    <xf numFmtId="0" fontId="50" fillId="0" borderId="80" xfId="0" applyFont="1" applyFill="1" applyBorder="1" applyAlignment="1">
      <alignment horizontal="center" vertical="center"/>
    </xf>
    <xf numFmtId="3" fontId="50" fillId="0" borderId="80" xfId="0" applyNumberFormat="1" applyFont="1" applyFill="1" applyBorder="1" applyAlignment="1">
      <alignment horizontal="center" vertical="center"/>
    </xf>
    <xf numFmtId="4" fontId="49" fillId="0" borderId="19" xfId="0" applyNumberFormat="1" applyFont="1" applyFill="1" applyBorder="1" applyAlignment="1">
      <alignment horizontal="center" vertical="center"/>
    </xf>
    <xf numFmtId="4" fontId="49" fillId="0" borderId="64" xfId="0" applyNumberFormat="1" applyFont="1" applyFill="1" applyBorder="1" applyAlignment="1">
      <alignment horizontal="center" vertical="center" wrapText="1"/>
    </xf>
    <xf numFmtId="3" fontId="10" fillId="4" borderId="95" xfId="0" applyNumberFormat="1" applyFont="1" applyFill="1" applyBorder="1" applyAlignment="1">
      <alignment horizontal="center" vertical="center" wrapText="1"/>
    </xf>
    <xf numFmtId="0" fontId="18" fillId="4" borderId="65" xfId="2" applyFont="1" applyFill="1" applyBorder="1" applyAlignment="1" applyProtection="1">
      <alignment horizontal="center" vertical="center" wrapText="1"/>
    </xf>
    <xf numFmtId="0" fontId="18" fillId="4" borderId="5" xfId="2" applyFont="1" applyFill="1" applyBorder="1" applyAlignment="1" applyProtection="1">
      <alignment horizontal="center" vertical="center" wrapText="1"/>
    </xf>
    <xf numFmtId="0" fontId="10" fillId="0" borderId="132" xfId="0" applyFont="1" applyBorder="1" applyAlignment="1">
      <alignment horizontal="center" vertical="center"/>
    </xf>
    <xf numFmtId="0" fontId="18" fillId="4" borderId="5" xfId="2" applyFill="1" applyBorder="1" applyAlignment="1" applyProtection="1">
      <alignment horizontal="center" vertical="center" wrapText="1"/>
    </xf>
    <xf numFmtId="0" fontId="18" fillId="4" borderId="11" xfId="2" applyFill="1" applyBorder="1" applyAlignment="1" applyProtection="1">
      <alignment horizontal="center" vertical="center" wrapText="1"/>
    </xf>
    <xf numFmtId="37" fontId="10" fillId="4" borderId="0" xfId="0" applyNumberFormat="1" applyFont="1" applyFill="1"/>
    <xf numFmtId="10" fontId="10" fillId="4" borderId="133" xfId="0" applyNumberFormat="1" applyFont="1" applyFill="1" applyBorder="1" applyAlignment="1">
      <alignment horizontal="center" vertical="center"/>
    </xf>
    <xf numFmtId="10" fontId="10" fillId="0" borderId="132" xfId="0" applyNumberFormat="1" applyFont="1" applyFill="1" applyBorder="1" applyAlignment="1">
      <alignment horizontal="center" vertical="center" wrapText="1"/>
    </xf>
    <xf numFmtId="173" fontId="10" fillId="0" borderId="134" xfId="0" applyNumberFormat="1" applyFont="1" applyFill="1" applyBorder="1" applyAlignment="1">
      <alignment horizontal="center" vertical="center"/>
    </xf>
    <xf numFmtId="37" fontId="10" fillId="0" borderId="133" xfId="1" applyNumberFormat="1" applyFont="1" applyFill="1" applyBorder="1" applyAlignment="1">
      <alignment horizontal="center" vertical="center"/>
    </xf>
    <xf numFmtId="39" fontId="10" fillId="0" borderId="134" xfId="0" applyNumberFormat="1" applyFont="1" applyFill="1" applyBorder="1" applyAlignment="1">
      <alignment horizontal="center" vertical="center"/>
    </xf>
    <xf numFmtId="37" fontId="10" fillId="0" borderId="68" xfId="1" applyNumberFormat="1" applyFont="1" applyFill="1" applyBorder="1" applyAlignment="1">
      <alignment horizontal="center" vertical="center"/>
    </xf>
    <xf numFmtId="0" fontId="0" fillId="4" borderId="0" xfId="0" applyFill="1" applyAlignment="1">
      <alignment horizontal="center" vertical="center" wrapText="1"/>
    </xf>
    <xf numFmtId="0" fontId="0" fillId="0" borderId="0" xfId="0" applyAlignment="1">
      <alignment wrapText="1"/>
    </xf>
    <xf numFmtId="0" fontId="18" fillId="0" borderId="5" xfId="2" applyFill="1" applyBorder="1" applyAlignment="1" applyProtection="1">
      <alignment horizontal="center" vertical="center" wrapText="1"/>
    </xf>
    <xf numFmtId="0" fontId="18" fillId="4" borderId="0" xfId="2" applyFill="1" applyAlignment="1" applyProtection="1">
      <alignment wrapText="1"/>
    </xf>
    <xf numFmtId="0" fontId="10" fillId="4" borderId="58" xfId="0" applyFont="1" applyFill="1" applyBorder="1" applyAlignment="1">
      <alignment horizontal="center" vertical="center"/>
    </xf>
    <xf numFmtId="0" fontId="10" fillId="4" borderId="91" xfId="0" applyFont="1" applyFill="1" applyBorder="1" applyAlignment="1">
      <alignment horizontal="center" vertical="center"/>
    </xf>
    <xf numFmtId="0" fontId="10" fillId="4" borderId="78" xfId="0" applyFont="1" applyFill="1" applyBorder="1" applyAlignment="1">
      <alignment horizontal="center" vertical="center"/>
    </xf>
    <xf numFmtId="0" fontId="10" fillId="4" borderId="12" xfId="0" applyFont="1" applyFill="1" applyBorder="1" applyAlignment="1">
      <alignment horizontal="center" vertical="center"/>
    </xf>
    <xf numFmtId="3" fontId="10" fillId="0" borderId="59" xfId="0" applyNumberFormat="1" applyFont="1" applyFill="1" applyBorder="1" applyAlignment="1">
      <alignment horizontal="center" vertical="center"/>
    </xf>
    <xf numFmtId="0" fontId="18" fillId="4" borderId="133" xfId="2" applyFont="1" applyFill="1" applyBorder="1" applyAlignment="1" applyProtection="1">
      <alignment horizontal="center" vertical="center"/>
    </xf>
    <xf numFmtId="0" fontId="18" fillId="4" borderId="68" xfId="2" applyFont="1" applyFill="1" applyBorder="1" applyAlignment="1" applyProtection="1">
      <alignment horizontal="center" vertical="center"/>
    </xf>
    <xf numFmtId="0" fontId="10" fillId="0" borderId="132" xfId="0" applyFont="1" applyFill="1" applyBorder="1" applyAlignment="1">
      <alignment horizontal="center" wrapText="1"/>
    </xf>
    <xf numFmtId="0" fontId="13" fillId="0" borderId="12" xfId="0" applyFont="1" applyFill="1" applyBorder="1" applyAlignment="1">
      <alignment horizontal="center" wrapText="1"/>
    </xf>
    <xf numFmtId="37" fontId="13" fillId="0" borderId="58" xfId="1" applyNumberFormat="1" applyFont="1" applyFill="1" applyBorder="1" applyAlignment="1">
      <alignment horizontal="center" vertical="center"/>
    </xf>
    <xf numFmtId="37" fontId="13" fillId="0" borderId="59" xfId="1" applyNumberFormat="1" applyFont="1" applyFill="1" applyBorder="1" applyAlignment="1">
      <alignment horizontal="center" vertical="center"/>
    </xf>
    <xf numFmtId="0" fontId="13" fillId="4" borderId="0" xfId="0" applyFont="1" applyFill="1" applyAlignment="1"/>
    <xf numFmtId="0" fontId="10" fillId="0" borderId="0" xfId="0" applyFont="1" applyFill="1" applyAlignment="1"/>
    <xf numFmtId="0" fontId="50" fillId="0" borderId="0" xfId="0" applyFont="1" applyFill="1" applyBorder="1"/>
    <xf numFmtId="0" fontId="49" fillId="0" borderId="132" xfId="0" applyFont="1" applyFill="1" applyBorder="1" applyAlignment="1">
      <alignment horizontal="center" vertical="center"/>
    </xf>
    <xf numFmtId="0" fontId="50" fillId="0" borderId="90" xfId="0" applyFont="1" applyFill="1" applyBorder="1" applyAlignment="1">
      <alignment horizontal="center" vertical="center"/>
    </xf>
    <xf numFmtId="0" fontId="50" fillId="0" borderId="92" xfId="0" applyFont="1" applyFill="1" applyBorder="1" applyAlignment="1">
      <alignment horizontal="center" vertical="center"/>
    </xf>
    <xf numFmtId="0" fontId="50" fillId="0" borderId="95" xfId="0" applyFont="1" applyFill="1" applyBorder="1" applyAlignment="1">
      <alignment horizontal="center" vertical="center"/>
    </xf>
    <xf numFmtId="0" fontId="50" fillId="0" borderId="79" xfId="0" applyFont="1" applyFill="1" applyBorder="1" applyAlignment="1">
      <alignment horizontal="center" vertical="center"/>
    </xf>
    <xf numFmtId="0" fontId="50" fillId="0" borderId="93" xfId="0" applyFont="1" applyFill="1" applyBorder="1" applyAlignment="1">
      <alignment horizontal="center" vertical="center"/>
    </xf>
    <xf numFmtId="0" fontId="50" fillId="0" borderId="81" xfId="0" applyFont="1" applyFill="1" applyBorder="1" applyAlignment="1">
      <alignment horizontal="center" vertical="center"/>
    </xf>
    <xf numFmtId="3" fontId="10" fillId="0" borderId="131" xfId="0" applyNumberFormat="1" applyFont="1" applyFill="1" applyBorder="1" applyAlignment="1">
      <alignment horizontal="center" vertical="center" wrapText="1"/>
    </xf>
    <xf numFmtId="3" fontId="10" fillId="0" borderId="58" xfId="0" applyNumberFormat="1" applyFont="1" applyFill="1" applyBorder="1" applyAlignment="1">
      <alignment horizontal="center" vertical="center" wrapText="1"/>
    </xf>
    <xf numFmtId="166" fontId="10" fillId="67" borderId="77" xfId="3" applyNumberFormat="1" applyFont="1" applyFill="1" applyBorder="1" applyAlignment="1">
      <alignment horizontal="center" vertical="center"/>
    </xf>
    <xf numFmtId="166" fontId="10" fillId="67" borderId="79" xfId="3" applyNumberFormat="1" applyFont="1" applyFill="1" applyBorder="1" applyAlignment="1">
      <alignment horizontal="center" vertical="center"/>
    </xf>
    <xf numFmtId="166" fontId="10" fillId="67" borderId="81" xfId="3" applyNumberFormat="1" applyFont="1" applyFill="1" applyBorder="1" applyAlignment="1">
      <alignment horizontal="center" vertical="center"/>
    </xf>
    <xf numFmtId="0" fontId="49" fillId="0" borderId="84" xfId="0" applyFont="1" applyFill="1" applyBorder="1" applyAlignment="1">
      <alignment horizontal="center" vertical="center"/>
    </xf>
    <xf numFmtId="3" fontId="13" fillId="0" borderId="62" xfId="0" applyNumberFormat="1" applyFont="1" applyFill="1" applyBorder="1" applyAlignment="1">
      <alignment horizontal="center" vertical="center"/>
    </xf>
    <xf numFmtId="3" fontId="11" fillId="4" borderId="131" xfId="0" applyNumberFormat="1" applyFont="1" applyFill="1" applyBorder="1" applyAlignment="1">
      <alignment horizontal="center" vertical="center"/>
    </xf>
    <xf numFmtId="0" fontId="10" fillId="4" borderId="115" xfId="0" applyFont="1" applyFill="1" applyBorder="1" applyAlignment="1">
      <alignment horizontal="left" vertical="top" wrapText="1"/>
    </xf>
    <xf numFmtId="3" fontId="10" fillId="4" borderId="99" xfId="0" applyNumberFormat="1" applyFont="1" applyFill="1" applyBorder="1" applyAlignment="1">
      <alignment horizontal="center" vertical="center" wrapText="1"/>
    </xf>
    <xf numFmtId="3" fontId="10" fillId="59" borderId="99" xfId="0" applyNumberFormat="1" applyFont="1" applyFill="1" applyBorder="1" applyAlignment="1">
      <alignment horizontal="center" vertical="center" wrapText="1"/>
    </xf>
    <xf numFmtId="3" fontId="10" fillId="59" borderId="126" xfId="0" applyNumberFormat="1" applyFont="1" applyFill="1" applyBorder="1" applyAlignment="1">
      <alignment horizontal="center" vertical="center" wrapText="1"/>
    </xf>
    <xf numFmtId="0" fontId="10" fillId="59" borderId="99" xfId="0" applyFont="1" applyFill="1" applyBorder="1" applyAlignment="1">
      <alignment horizontal="center" vertical="center" wrapText="1"/>
    </xf>
    <xf numFmtId="3" fontId="10" fillId="59" borderId="98" xfId="0" applyNumberFormat="1" applyFont="1" applyFill="1" applyBorder="1" applyAlignment="1">
      <alignment horizontal="center" vertical="center" wrapText="1"/>
    </xf>
    <xf numFmtId="3" fontId="10" fillId="0" borderId="99" xfId="0" applyNumberFormat="1" applyFont="1" applyFill="1" applyBorder="1" applyAlignment="1">
      <alignment horizontal="center" vertical="center" wrapText="1"/>
    </xf>
    <xf numFmtId="3" fontId="10" fillId="0" borderId="126" xfId="0" applyNumberFormat="1" applyFont="1" applyFill="1" applyBorder="1" applyAlignment="1">
      <alignment horizontal="center" vertical="center" wrapText="1"/>
    </xf>
    <xf numFmtId="168" fontId="10" fillId="0" borderId="58" xfId="0" applyNumberFormat="1" applyFont="1" applyFill="1" applyBorder="1" applyAlignment="1">
      <alignment horizontal="center" vertical="center" wrapText="1"/>
    </xf>
    <xf numFmtId="3" fontId="10" fillId="0" borderId="12" xfId="0" applyNumberFormat="1" applyFont="1" applyFill="1" applyBorder="1" applyAlignment="1">
      <alignment horizontal="center" vertical="center" wrapText="1"/>
    </xf>
    <xf numFmtId="0" fontId="10" fillId="0" borderId="4" xfId="0" applyFont="1" applyBorder="1" applyAlignment="1">
      <alignment horizontal="left" vertical="top" wrapText="1"/>
    </xf>
    <xf numFmtId="0" fontId="10" fillId="4" borderId="90" xfId="0" applyNumberFormat="1" applyFont="1" applyFill="1" applyBorder="1" applyAlignment="1">
      <alignment horizontal="center" vertical="center" wrapText="1"/>
    </xf>
    <xf numFmtId="0" fontId="10" fillId="4" borderId="104" xfId="0" applyNumberFormat="1" applyFont="1" applyFill="1" applyBorder="1" applyAlignment="1">
      <alignment horizontal="center" vertical="center" wrapText="1"/>
    </xf>
    <xf numFmtId="166" fontId="0" fillId="0" borderId="0" xfId="0" applyNumberFormat="1"/>
    <xf numFmtId="165" fontId="69" fillId="61" borderId="40" xfId="0" applyNumberFormat="1" applyFont="1" applyFill="1" applyBorder="1" applyAlignment="1">
      <alignment horizontal="center" vertical="center" wrapText="1"/>
    </xf>
    <xf numFmtId="3" fontId="10" fillId="0" borderId="59" xfId="0" applyNumberFormat="1" applyFont="1" applyFill="1" applyBorder="1" applyAlignment="1">
      <alignment horizontal="center" vertical="center" wrapText="1"/>
    </xf>
    <xf numFmtId="0" fontId="69" fillId="61" borderId="10" xfId="0" applyFont="1" applyFill="1" applyBorder="1" applyAlignment="1">
      <alignment horizontal="center" vertical="center" wrapText="1"/>
    </xf>
    <xf numFmtId="0" fontId="69" fillId="61" borderId="18" xfId="0" applyFont="1" applyFill="1" applyBorder="1" applyAlignment="1">
      <alignment horizontal="center" vertical="center" wrapText="1"/>
    </xf>
    <xf numFmtId="0" fontId="10" fillId="0" borderId="4" xfId="0" applyFont="1" applyBorder="1" applyAlignment="1">
      <alignment horizontal="left" vertical="top"/>
    </xf>
    <xf numFmtId="0" fontId="69" fillId="61" borderId="18" xfId="0" applyFont="1" applyFill="1" applyBorder="1" applyAlignment="1">
      <alignment horizontal="center" vertical="center" wrapText="1"/>
    </xf>
    <xf numFmtId="0" fontId="69" fillId="61" borderId="11" xfId="0" applyFont="1" applyFill="1" applyBorder="1" applyAlignment="1">
      <alignment horizontal="center" vertical="center" wrapText="1"/>
    </xf>
    <xf numFmtId="0" fontId="0" fillId="36" borderId="5" xfId="0" applyFill="1" applyBorder="1" applyAlignment="1">
      <alignment horizontal="center" vertical="center"/>
    </xf>
    <xf numFmtId="0" fontId="0" fillId="36" borderId="5" xfId="0" applyFill="1" applyBorder="1" applyAlignment="1">
      <alignment horizontal="center" vertical="center" wrapText="1"/>
    </xf>
    <xf numFmtId="0" fontId="10" fillId="4" borderId="132" xfId="0" applyNumberFormat="1" applyFont="1" applyFill="1" applyBorder="1" applyAlignment="1">
      <alignment horizontal="center" vertical="center" wrapText="1"/>
    </xf>
    <xf numFmtId="0" fontId="13" fillId="4" borderId="12" xfId="0" applyNumberFormat="1" applyFont="1" applyFill="1" applyBorder="1" applyAlignment="1">
      <alignment horizontal="center" vertical="center" wrapText="1"/>
    </xf>
    <xf numFmtId="0" fontId="18" fillId="0" borderId="5" xfId="2" applyBorder="1" applyAlignment="1" applyProtection="1">
      <alignment horizontal="center" vertical="center"/>
    </xf>
    <xf numFmtId="3" fontId="50" fillId="36" borderId="131" xfId="0" applyNumberFormat="1" applyFont="1" applyFill="1" applyBorder="1" applyAlignment="1">
      <alignment horizontal="center" vertical="center"/>
    </xf>
    <xf numFmtId="3" fontId="50" fillId="36" borderId="133" xfId="0" applyNumberFormat="1" applyFont="1" applyFill="1" applyBorder="1" applyAlignment="1">
      <alignment horizontal="center" vertical="center"/>
    </xf>
    <xf numFmtId="3" fontId="10" fillId="36" borderId="131" xfId="0" applyNumberFormat="1" applyFont="1" applyFill="1" applyBorder="1" applyAlignment="1">
      <alignment horizontal="center" vertical="center" wrapText="1"/>
    </xf>
    <xf numFmtId="3" fontId="10" fillId="36" borderId="133" xfId="0" applyNumberFormat="1" applyFont="1" applyFill="1" applyBorder="1" applyAlignment="1">
      <alignment horizontal="center" vertical="center" wrapText="1"/>
    </xf>
    <xf numFmtId="0" fontId="69" fillId="61" borderId="23" xfId="0" applyFont="1" applyFill="1" applyBorder="1" applyAlignment="1">
      <alignment horizontal="center" vertical="center" wrapText="1"/>
    </xf>
    <xf numFmtId="0" fontId="10" fillId="4" borderId="96" xfId="0" applyNumberFormat="1" applyFont="1" applyFill="1" applyBorder="1" applyAlignment="1">
      <alignment horizontal="center" vertical="center" wrapText="1"/>
    </xf>
    <xf numFmtId="0" fontId="13" fillId="4" borderId="132" xfId="0" applyNumberFormat="1" applyFont="1" applyFill="1" applyBorder="1" applyAlignment="1">
      <alignment horizontal="center" vertical="center" wrapText="1"/>
    </xf>
    <xf numFmtId="0" fontId="13" fillId="68" borderId="74" xfId="0" applyNumberFormat="1" applyFont="1" applyFill="1" applyBorder="1" applyAlignment="1">
      <alignment horizontal="center" vertical="center" wrapText="1"/>
    </xf>
    <xf numFmtId="0" fontId="10" fillId="68" borderId="66" xfId="0" applyNumberFormat="1" applyFont="1" applyFill="1" applyBorder="1" applyAlignment="1">
      <alignment horizontal="center" vertical="center" wrapText="1"/>
    </xf>
    <xf numFmtId="1" fontId="12" fillId="36" borderId="132" xfId="0" applyNumberFormat="1" applyFont="1" applyFill="1" applyBorder="1" applyAlignment="1">
      <alignment horizontal="center" vertical="center"/>
    </xf>
    <xf numFmtId="1" fontId="12" fillId="36" borderId="131" xfId="0" applyNumberFormat="1" applyFont="1" applyFill="1" applyBorder="1" applyAlignment="1">
      <alignment horizontal="center" vertical="center"/>
    </xf>
    <xf numFmtId="0" fontId="12" fillId="36" borderId="133" xfId="0" applyFont="1" applyFill="1" applyBorder="1" applyAlignment="1">
      <alignment horizontal="center" vertical="center"/>
    </xf>
    <xf numFmtId="0" fontId="12" fillId="36" borderId="132" xfId="0" applyFont="1" applyFill="1" applyBorder="1" applyAlignment="1">
      <alignment horizontal="center" vertical="center"/>
    </xf>
    <xf numFmtId="0" fontId="12" fillId="36" borderId="131" xfId="0" applyFont="1" applyFill="1" applyBorder="1" applyAlignment="1">
      <alignment horizontal="center" vertical="center"/>
    </xf>
    <xf numFmtId="0" fontId="12" fillId="36" borderId="12" xfId="0" applyFont="1" applyFill="1" applyBorder="1" applyAlignment="1">
      <alignment horizontal="center" vertical="center"/>
    </xf>
    <xf numFmtId="0" fontId="12" fillId="36" borderId="58" xfId="0" applyFont="1" applyFill="1" applyBorder="1" applyAlignment="1">
      <alignment horizontal="center" vertical="center"/>
    </xf>
    <xf numFmtId="0" fontId="12" fillId="36" borderId="59" xfId="0" applyFont="1" applyFill="1" applyBorder="1" applyAlignment="1">
      <alignment horizontal="center" vertical="center"/>
    </xf>
    <xf numFmtId="0" fontId="10" fillId="4" borderId="93" xfId="0" applyNumberFormat="1" applyFont="1" applyFill="1" applyBorder="1" applyAlignment="1">
      <alignment horizontal="center" vertical="center" wrapText="1"/>
    </xf>
    <xf numFmtId="0" fontId="10" fillId="4" borderId="12" xfId="0" applyNumberFormat="1" applyFont="1" applyFill="1" applyBorder="1" applyAlignment="1">
      <alignment horizontal="center" vertical="center" wrapText="1"/>
    </xf>
    <xf numFmtId="3" fontId="28" fillId="36" borderId="91" xfId="0" applyNumberFormat="1" applyFont="1" applyFill="1" applyBorder="1" applyAlignment="1">
      <alignment horizontal="center" vertical="center"/>
    </xf>
    <xf numFmtId="170" fontId="28" fillId="36" borderId="91" xfId="0" applyNumberFormat="1" applyFont="1" applyFill="1" applyBorder="1" applyAlignment="1">
      <alignment horizontal="center" vertical="center"/>
    </xf>
    <xf numFmtId="3" fontId="28" fillId="36" borderId="78" xfId="0" applyNumberFormat="1" applyFont="1" applyFill="1" applyBorder="1" applyAlignment="1">
      <alignment horizontal="center" vertical="center"/>
    </xf>
    <xf numFmtId="170" fontId="28" fillId="36" borderId="78" xfId="0" applyNumberFormat="1" applyFont="1" applyFill="1" applyBorder="1" applyAlignment="1">
      <alignment horizontal="center" vertical="center"/>
    </xf>
    <xf numFmtId="3" fontId="28" fillId="36" borderId="105" xfId="0" applyNumberFormat="1" applyFont="1" applyFill="1" applyBorder="1" applyAlignment="1">
      <alignment horizontal="center" vertical="center"/>
    </xf>
    <xf numFmtId="170" fontId="28" fillId="36" borderId="105" xfId="0" applyNumberFormat="1" applyFont="1" applyFill="1" applyBorder="1" applyAlignment="1">
      <alignment horizontal="center" vertical="center"/>
    </xf>
    <xf numFmtId="3" fontId="45" fillId="36" borderId="8" xfId="0" applyNumberFormat="1" applyFont="1" applyFill="1" applyBorder="1" applyAlignment="1">
      <alignment horizontal="center" vertical="center"/>
    </xf>
    <xf numFmtId="4" fontId="28" fillId="36" borderId="92" xfId="0" applyNumberFormat="1" applyFont="1" applyFill="1" applyBorder="1" applyAlignment="1">
      <alignment horizontal="center" vertical="center"/>
    </xf>
    <xf numFmtId="4" fontId="28" fillId="36" borderId="79" xfId="0" applyNumberFormat="1" applyFont="1" applyFill="1" applyBorder="1" applyAlignment="1">
      <alignment horizontal="center" vertical="center"/>
    </xf>
    <xf numFmtId="4" fontId="28" fillId="36" borderId="107" xfId="0" applyNumberFormat="1" applyFont="1" applyFill="1" applyBorder="1" applyAlignment="1">
      <alignment horizontal="center" vertical="center"/>
    </xf>
    <xf numFmtId="37" fontId="10" fillId="36" borderId="131" xfId="1" applyNumberFormat="1" applyFont="1" applyFill="1" applyBorder="1" applyAlignment="1">
      <alignment horizontal="center" wrapText="1"/>
    </xf>
    <xf numFmtId="37" fontId="10" fillId="36" borderId="133" xfId="1" applyNumberFormat="1" applyFont="1" applyFill="1" applyBorder="1" applyAlignment="1">
      <alignment horizontal="center" wrapText="1"/>
    </xf>
    <xf numFmtId="0" fontId="13" fillId="68" borderId="134" xfId="0" applyNumberFormat="1" applyFont="1" applyFill="1" applyBorder="1" applyAlignment="1">
      <alignment horizontal="center" vertical="center" wrapText="1"/>
    </xf>
    <xf numFmtId="0" fontId="13" fillId="68" borderId="150" xfId="0" applyNumberFormat="1" applyFont="1" applyFill="1" applyBorder="1" applyAlignment="1">
      <alignment horizontal="center" vertical="center" wrapText="1"/>
    </xf>
    <xf numFmtId="0" fontId="13" fillId="4" borderId="63" xfId="0" applyNumberFormat="1" applyFont="1" applyFill="1" applyBorder="1" applyAlignment="1">
      <alignment horizontal="center" vertical="center" wrapText="1"/>
    </xf>
    <xf numFmtId="3" fontId="13" fillId="68" borderId="138" xfId="0" applyNumberFormat="1" applyFont="1" applyFill="1" applyBorder="1" applyAlignment="1">
      <alignment horizontal="center" vertical="center" wrapText="1"/>
    </xf>
    <xf numFmtId="3" fontId="13" fillId="68" borderId="67" xfId="0" applyNumberFormat="1" applyFont="1" applyFill="1" applyBorder="1" applyAlignment="1">
      <alignment horizontal="center" vertical="center" wrapText="1"/>
    </xf>
    <xf numFmtId="3" fontId="49" fillId="0" borderId="131" xfId="0" applyNumberFormat="1" applyFont="1" applyFill="1" applyBorder="1" applyAlignment="1">
      <alignment horizontal="center" vertical="center"/>
    </xf>
    <xf numFmtId="3" fontId="13" fillId="0" borderId="58" xfId="0" applyNumberFormat="1" applyFont="1" applyFill="1" applyBorder="1" applyAlignment="1">
      <alignment horizontal="center" vertical="center" wrapText="1"/>
    </xf>
    <xf numFmtId="3" fontId="13" fillId="0" borderId="64" xfId="0" applyNumberFormat="1" applyFont="1" applyFill="1" applyBorder="1" applyAlignment="1">
      <alignment horizontal="center" vertical="center" wrapText="1"/>
    </xf>
    <xf numFmtId="0" fontId="0" fillId="0" borderId="0" xfId="0" applyBorder="1" applyAlignment="1">
      <alignment wrapText="1"/>
    </xf>
    <xf numFmtId="0" fontId="10" fillId="0" borderId="82" xfId="0" applyFont="1" applyBorder="1" applyAlignment="1">
      <alignment horizontal="left" vertical="top"/>
    </xf>
    <xf numFmtId="0" fontId="10" fillId="0" borderId="131" xfId="0" applyFont="1" applyBorder="1" applyAlignment="1">
      <alignment horizontal="center"/>
    </xf>
    <xf numFmtId="0" fontId="0" fillId="0" borderId="131" xfId="0" applyBorder="1" applyAlignment="1">
      <alignment horizontal="center"/>
    </xf>
    <xf numFmtId="0" fontId="13" fillId="0" borderId="131" xfId="0" applyFont="1" applyBorder="1" applyAlignment="1">
      <alignment horizontal="center"/>
    </xf>
    <xf numFmtId="173" fontId="10" fillId="4" borderId="0" xfId="0" applyNumberFormat="1" applyFont="1" applyFill="1"/>
    <xf numFmtId="3" fontId="13" fillId="0" borderId="21" xfId="0" applyNumberFormat="1" applyFont="1" applyFill="1" applyBorder="1" applyAlignment="1">
      <alignment horizontal="center" vertical="center"/>
    </xf>
    <xf numFmtId="3" fontId="13" fillId="0" borderId="137" xfId="0" applyNumberFormat="1" applyFont="1" applyFill="1" applyBorder="1" applyAlignment="1">
      <alignment horizontal="center" vertical="center"/>
    </xf>
    <xf numFmtId="170" fontId="0" fillId="4" borderId="0" xfId="0" applyNumberFormat="1" applyFill="1"/>
    <xf numFmtId="3" fontId="13" fillId="0" borderId="27" xfId="0" applyNumberFormat="1" applyFont="1" applyFill="1" applyBorder="1" applyAlignment="1">
      <alignment horizontal="center" vertical="center"/>
    </xf>
    <xf numFmtId="170" fontId="13" fillId="0" borderId="45" xfId="0" applyNumberFormat="1" applyFont="1" applyFill="1" applyBorder="1" applyAlignment="1">
      <alignment horizontal="center" vertical="center"/>
    </xf>
    <xf numFmtId="3" fontId="10" fillId="0" borderId="18" xfId="0" applyNumberFormat="1" applyFont="1" applyFill="1" applyBorder="1" applyAlignment="1">
      <alignment horizontal="center" vertical="center"/>
    </xf>
    <xf numFmtId="170" fontId="10" fillId="0" borderId="11" xfId="0" applyNumberFormat="1" applyFont="1" applyFill="1" applyBorder="1" applyAlignment="1">
      <alignment horizontal="center" vertical="center"/>
    </xf>
    <xf numFmtId="170" fontId="0" fillId="0" borderId="78" xfId="0" applyNumberFormat="1" applyFill="1" applyBorder="1" applyAlignment="1">
      <alignment horizontal="center" vertical="center"/>
    </xf>
    <xf numFmtId="3" fontId="13" fillId="0" borderId="21" xfId="0" applyNumberFormat="1" applyFont="1" applyFill="1" applyBorder="1" applyAlignment="1">
      <alignment horizontal="center"/>
    </xf>
    <xf numFmtId="170" fontId="13" fillId="0" borderId="21" xfId="0" applyNumberFormat="1" applyFont="1" applyFill="1" applyBorder="1" applyAlignment="1">
      <alignment horizontal="center"/>
    </xf>
    <xf numFmtId="4" fontId="0" fillId="0" borderId="78" xfId="0" applyNumberFormat="1" applyFill="1" applyBorder="1" applyAlignment="1">
      <alignment horizontal="center" vertical="center"/>
    </xf>
    <xf numFmtId="170" fontId="0" fillId="0" borderId="76" xfId="0" applyNumberFormat="1" applyFill="1" applyBorder="1" applyAlignment="1">
      <alignment horizontal="center" vertical="center"/>
    </xf>
    <xf numFmtId="170" fontId="10" fillId="0" borderId="81" xfId="0" applyNumberFormat="1" applyFont="1" applyFill="1" applyBorder="1" applyAlignment="1">
      <alignment horizontal="center" vertical="center"/>
    </xf>
    <xf numFmtId="4" fontId="10" fillId="0" borderId="80" xfId="0" applyNumberFormat="1" applyFont="1" applyFill="1" applyBorder="1" applyAlignment="1">
      <alignment horizontal="center" vertical="center"/>
    </xf>
    <xf numFmtId="171" fontId="10" fillId="0" borderId="80" xfId="0" applyNumberFormat="1" applyFont="1" applyFill="1" applyBorder="1" applyAlignment="1">
      <alignment horizontal="center" vertical="center"/>
    </xf>
    <xf numFmtId="3" fontId="10" fillId="0" borderId="131" xfId="1" applyNumberFormat="1" applyFont="1" applyFill="1" applyBorder="1" applyAlignment="1">
      <alignment horizontal="center" vertical="center"/>
    </xf>
    <xf numFmtId="170" fontId="10" fillId="0" borderId="133" xfId="1" applyNumberFormat="1" applyFont="1" applyFill="1" applyBorder="1" applyAlignment="1">
      <alignment horizontal="center" vertical="center"/>
    </xf>
    <xf numFmtId="0" fontId="10" fillId="0" borderId="131" xfId="4" applyFont="1" applyFill="1" applyBorder="1" applyAlignment="1">
      <alignment horizontal="center" vertical="center" wrapText="1"/>
    </xf>
    <xf numFmtId="0" fontId="10" fillId="0" borderId="137" xfId="4" applyFont="1" applyFill="1" applyBorder="1" applyAlignment="1">
      <alignment horizontal="center" vertical="center" wrapText="1"/>
    </xf>
    <xf numFmtId="0" fontId="69" fillId="61" borderId="10" xfId="0" applyFont="1" applyFill="1" applyBorder="1" applyAlignment="1">
      <alignment horizontal="center" vertical="center" wrapText="1"/>
    </xf>
    <xf numFmtId="0" fontId="69" fillId="61" borderId="18" xfId="0" applyFont="1" applyFill="1" applyBorder="1" applyAlignment="1">
      <alignment horizontal="center" vertical="center" wrapText="1"/>
    </xf>
    <xf numFmtId="0" fontId="13" fillId="4" borderId="0" xfId="0" applyNumberFormat="1" applyFont="1" applyFill="1" applyAlignment="1">
      <alignment vertical="top" wrapText="1"/>
    </xf>
    <xf numFmtId="4" fontId="69" fillId="61" borderId="18" xfId="0" applyNumberFormat="1" applyFont="1" applyFill="1" applyBorder="1" applyAlignment="1">
      <alignment horizontal="center" vertical="center" wrapText="1"/>
    </xf>
    <xf numFmtId="0" fontId="69" fillId="61" borderId="18" xfId="110" applyFont="1" applyFill="1" applyBorder="1" applyAlignment="1">
      <alignment horizontal="center" vertical="center" wrapText="1"/>
    </xf>
    <xf numFmtId="0" fontId="69" fillId="61" borderId="11" xfId="110" applyFont="1" applyFill="1" applyBorder="1" applyAlignment="1">
      <alignment horizontal="center" vertical="center" wrapText="1"/>
    </xf>
    <xf numFmtId="3" fontId="13" fillId="4" borderId="12" xfId="0" applyNumberFormat="1" applyFont="1" applyFill="1" applyBorder="1" applyAlignment="1">
      <alignment horizontal="center" vertical="center"/>
    </xf>
    <xf numFmtId="3" fontId="13" fillId="4" borderId="89" xfId="0" applyNumberFormat="1" applyFont="1" applyFill="1" applyBorder="1" applyAlignment="1">
      <alignment horizontal="center" vertical="center"/>
    </xf>
    <xf numFmtId="166" fontId="28" fillId="0" borderId="0" xfId="110" applyNumberFormat="1" applyFont="1" applyFill="1" applyBorder="1" applyAlignment="1">
      <alignment horizontal="center" vertical="center" wrapText="1"/>
    </xf>
    <xf numFmtId="0" fontId="18" fillId="4" borderId="5" xfId="2" applyFill="1" applyBorder="1" applyAlignment="1" applyProtection="1">
      <alignment horizontal="center" vertical="center"/>
    </xf>
    <xf numFmtId="166" fontId="45" fillId="0" borderId="58" xfId="0" applyNumberFormat="1" applyFont="1" applyFill="1" applyBorder="1" applyAlignment="1">
      <alignment horizontal="center" vertical="center"/>
    </xf>
    <xf numFmtId="0" fontId="28" fillId="0" borderId="10" xfId="10" applyFont="1" applyBorder="1" applyAlignment="1">
      <alignment horizontal="center" vertical="center"/>
    </xf>
    <xf numFmtId="0" fontId="28" fillId="0" borderId="12" xfId="10" applyFont="1" applyBorder="1" applyAlignment="1">
      <alignment horizontal="center" vertical="center"/>
    </xf>
    <xf numFmtId="180" fontId="28" fillId="0" borderId="58" xfId="110" applyNumberFormat="1" applyFont="1" applyFill="1" applyBorder="1" applyAlignment="1">
      <alignment horizontal="center" vertical="center" wrapText="1"/>
    </xf>
    <xf numFmtId="182" fontId="28" fillId="0" borderId="58" xfId="110" applyNumberFormat="1" applyFont="1" applyFill="1" applyBorder="1" applyAlignment="1">
      <alignment horizontal="center" vertical="center" wrapText="1"/>
    </xf>
    <xf numFmtId="178" fontId="28" fillId="0" borderId="59" xfId="110" applyNumberFormat="1" applyFont="1" applyFill="1" applyBorder="1" applyAlignment="1">
      <alignment horizontal="center" vertical="center" wrapText="1"/>
    </xf>
    <xf numFmtId="183" fontId="45" fillId="0" borderId="131" xfId="110" applyNumberFormat="1" applyFont="1" applyFill="1" applyBorder="1" applyAlignment="1">
      <alignment horizontal="center" vertical="center" wrapText="1"/>
    </xf>
    <xf numFmtId="182" fontId="45" fillId="0" borderId="136" xfId="110" applyNumberFormat="1" applyFont="1" applyFill="1" applyBorder="1" applyAlignment="1">
      <alignment horizontal="center" vertical="center" wrapText="1"/>
    </xf>
    <xf numFmtId="188" fontId="45" fillId="0" borderId="133" xfId="110" applyNumberFormat="1" applyFont="1" applyFill="1" applyBorder="1" applyAlignment="1">
      <alignment horizontal="center" vertical="center" wrapText="1"/>
    </xf>
    <xf numFmtId="183" fontId="45" fillId="0" borderId="58" xfId="110" applyNumberFormat="1" applyFont="1" applyFill="1" applyBorder="1" applyAlignment="1">
      <alignment horizontal="center" vertical="center" wrapText="1"/>
    </xf>
    <xf numFmtId="182" fontId="45" fillId="0" borderId="139" xfId="110" applyNumberFormat="1" applyFont="1" applyFill="1" applyBorder="1" applyAlignment="1">
      <alignment horizontal="center" vertical="center" wrapText="1"/>
    </xf>
    <xf numFmtId="188" fontId="45" fillId="0" borderId="59" xfId="110" applyNumberFormat="1" applyFont="1" applyFill="1" applyBorder="1" applyAlignment="1">
      <alignment horizontal="center" vertical="center" wrapText="1"/>
    </xf>
    <xf numFmtId="177" fontId="28" fillId="0" borderId="59" xfId="110" applyNumberFormat="1" applyFont="1" applyFill="1" applyBorder="1" applyAlignment="1">
      <alignment horizontal="center" vertical="center" wrapText="1"/>
    </xf>
    <xf numFmtId="0" fontId="28" fillId="0" borderId="90" xfId="110" applyFont="1" applyFill="1" applyBorder="1" applyAlignment="1">
      <alignment horizontal="center" vertical="center" wrapText="1"/>
    </xf>
    <xf numFmtId="167" fontId="28" fillId="0" borderId="91" xfId="0" applyNumberFormat="1" applyFont="1" applyFill="1" applyBorder="1" applyAlignment="1">
      <alignment horizontal="center" vertical="center"/>
    </xf>
    <xf numFmtId="186" fontId="28" fillId="0" borderId="92" xfId="0" applyNumberFormat="1" applyFont="1" applyFill="1" applyBorder="1" applyAlignment="1">
      <alignment horizontal="center" vertical="center"/>
    </xf>
    <xf numFmtId="166" fontId="28" fillId="0" borderId="92" xfId="110" applyNumberFormat="1" applyFont="1" applyFill="1" applyBorder="1" applyAlignment="1">
      <alignment horizontal="center" vertical="center" wrapText="1"/>
    </xf>
    <xf numFmtId="182" fontId="28" fillId="0" borderId="141" xfId="110" applyNumberFormat="1" applyFont="1" applyFill="1" applyBorder="1" applyAlignment="1">
      <alignment horizontal="center" vertical="center" wrapText="1"/>
    </xf>
    <xf numFmtId="167" fontId="28" fillId="0" borderId="78" xfId="0" applyNumberFormat="1" applyFont="1" applyFill="1" applyBorder="1" applyAlignment="1">
      <alignment horizontal="center" vertical="center"/>
    </xf>
    <xf numFmtId="186" fontId="28" fillId="0" borderId="79" xfId="0" applyNumberFormat="1" applyFont="1" applyFill="1" applyBorder="1" applyAlignment="1">
      <alignment horizontal="center" vertical="center"/>
    </xf>
    <xf numFmtId="166" fontId="28" fillId="0" borderId="79" xfId="110" applyNumberFormat="1" applyFont="1" applyFill="1" applyBorder="1" applyAlignment="1">
      <alignment horizontal="center" vertical="center" wrapText="1"/>
    </xf>
    <xf numFmtId="182" fontId="28" fillId="0" borderId="140" xfId="110" applyNumberFormat="1" applyFont="1" applyFill="1" applyBorder="1" applyAlignment="1">
      <alignment horizontal="center" vertical="center" wrapText="1"/>
    </xf>
    <xf numFmtId="0" fontId="28" fillId="0" borderId="93" xfId="0" applyFont="1" applyFill="1" applyBorder="1" applyAlignment="1">
      <alignment horizontal="center" vertical="center"/>
    </xf>
    <xf numFmtId="167" fontId="28" fillId="0" borderId="80" xfId="0" applyNumberFormat="1" applyFont="1" applyFill="1" applyBorder="1" applyAlignment="1">
      <alignment horizontal="center" vertical="center"/>
    </xf>
    <xf numFmtId="186" fontId="28" fillId="0" borderId="81" xfId="0" applyNumberFormat="1" applyFont="1" applyFill="1" applyBorder="1" applyAlignment="1">
      <alignment horizontal="center" vertical="center"/>
    </xf>
    <xf numFmtId="166" fontId="28" fillId="0" borderId="93" xfId="110" applyNumberFormat="1" applyFont="1" applyFill="1" applyBorder="1" applyAlignment="1">
      <alignment horizontal="center" vertical="center" wrapText="1"/>
    </xf>
    <xf numFmtId="166" fontId="28" fillId="0" borderId="81" xfId="110" applyNumberFormat="1" applyFont="1" applyFill="1" applyBorder="1" applyAlignment="1">
      <alignment horizontal="center" vertical="center" wrapText="1"/>
    </xf>
    <xf numFmtId="182" fontId="28" fillId="0" borderId="151" xfId="110" applyNumberFormat="1" applyFont="1" applyFill="1" applyBorder="1" applyAlignment="1">
      <alignment horizontal="center" vertical="center" wrapText="1"/>
    </xf>
    <xf numFmtId="0" fontId="28" fillId="0" borderId="94" xfId="10" applyFont="1" applyBorder="1" applyAlignment="1">
      <alignment horizontal="center" vertical="center"/>
    </xf>
    <xf numFmtId="0" fontId="28" fillId="0" borderId="95" xfId="10" applyFont="1" applyBorder="1" applyAlignment="1">
      <alignment horizontal="center" vertical="center"/>
    </xf>
    <xf numFmtId="0" fontId="28" fillId="0" borderId="104" xfId="10" applyFont="1" applyBorder="1" applyAlignment="1">
      <alignment horizontal="center" vertical="center"/>
    </xf>
    <xf numFmtId="0" fontId="28" fillId="0" borderId="90" xfId="10" applyFont="1" applyBorder="1" applyAlignment="1">
      <alignment horizontal="center" vertical="center" wrapText="1"/>
    </xf>
    <xf numFmtId="3" fontId="28" fillId="0" borderId="91" xfId="10" applyNumberFormat="1" applyFont="1" applyBorder="1" applyAlignment="1">
      <alignment horizontal="center" vertical="center" wrapText="1"/>
    </xf>
    <xf numFmtId="4" fontId="28" fillId="0" borderId="91" xfId="10" applyNumberFormat="1" applyFont="1" applyBorder="1" applyAlignment="1">
      <alignment horizontal="center" vertical="center" wrapText="1"/>
    </xf>
    <xf numFmtId="177" fontId="28" fillId="0" borderId="91" xfId="10" applyNumberFormat="1" applyFont="1" applyFill="1" applyBorder="1" applyAlignment="1">
      <alignment horizontal="center" vertical="center" wrapText="1"/>
    </xf>
    <xf numFmtId="177" fontId="28" fillId="0" borderId="92" xfId="10" applyNumberFormat="1" applyFont="1" applyFill="1" applyBorder="1" applyAlignment="1">
      <alignment horizontal="center" vertical="center" wrapText="1"/>
    </xf>
    <xf numFmtId="0" fontId="28" fillId="0" borderId="104" xfId="10" applyFont="1" applyBorder="1" applyAlignment="1">
      <alignment horizontal="center" vertical="center" wrapText="1"/>
    </xf>
    <xf numFmtId="3" fontId="28" fillId="0" borderId="105" xfId="10" applyNumberFormat="1" applyFont="1" applyBorder="1" applyAlignment="1">
      <alignment horizontal="center" vertical="center" wrapText="1"/>
    </xf>
    <xf numFmtId="4" fontId="28" fillId="0" borderId="105" xfId="10" applyNumberFormat="1" applyFont="1" applyBorder="1" applyAlignment="1">
      <alignment horizontal="center" vertical="center" wrapText="1"/>
    </xf>
    <xf numFmtId="177" fontId="28" fillId="0" borderId="105" xfId="10" applyNumberFormat="1" applyFont="1" applyFill="1" applyBorder="1" applyAlignment="1">
      <alignment horizontal="center" vertical="center" wrapText="1"/>
    </xf>
    <xf numFmtId="177" fontId="28" fillId="0" borderId="107" xfId="10" applyNumberFormat="1" applyFont="1" applyFill="1" applyBorder="1" applyAlignment="1">
      <alignment horizontal="center" vertical="center" wrapText="1"/>
    </xf>
    <xf numFmtId="0" fontId="28" fillId="0" borderId="90" xfId="110" applyFont="1" applyFill="1" applyBorder="1" applyAlignment="1">
      <alignment horizontal="center" vertical="center"/>
    </xf>
    <xf numFmtId="0" fontId="28" fillId="0" borderId="91" xfId="110" applyFont="1" applyFill="1" applyBorder="1" applyAlignment="1">
      <alignment horizontal="center" vertical="center"/>
    </xf>
    <xf numFmtId="0" fontId="18" fillId="0" borderId="92" xfId="2" applyFont="1" applyFill="1" applyBorder="1" applyAlignment="1" applyProtection="1">
      <alignment horizontal="center" vertical="center"/>
    </xf>
    <xf numFmtId="0" fontId="28" fillId="0" borderId="95" xfId="110" applyFont="1" applyFill="1" applyBorder="1" applyAlignment="1">
      <alignment horizontal="center" vertical="center"/>
    </xf>
    <xf numFmtId="0" fontId="28" fillId="0" borderId="78" xfId="110" applyFont="1" applyFill="1" applyBorder="1" applyAlignment="1">
      <alignment horizontal="center" vertical="center"/>
    </xf>
    <xf numFmtId="0" fontId="18" fillId="0" borderId="79" xfId="2" applyFont="1" applyFill="1" applyBorder="1" applyAlignment="1" applyProtection="1">
      <alignment horizontal="center" vertical="center"/>
    </xf>
    <xf numFmtId="0" fontId="28" fillId="0" borderId="104" xfId="110" applyFont="1" applyFill="1" applyBorder="1" applyAlignment="1">
      <alignment horizontal="center" vertical="center"/>
    </xf>
    <xf numFmtId="0" fontId="28" fillId="0" borderId="105" xfId="110" applyFont="1" applyFill="1" applyBorder="1" applyAlignment="1">
      <alignment horizontal="center" vertical="center"/>
    </xf>
    <xf numFmtId="0" fontId="18" fillId="0" borderId="107" xfId="2" applyFont="1" applyFill="1" applyBorder="1" applyAlignment="1" applyProtection="1">
      <alignment horizontal="center" vertical="center"/>
    </xf>
    <xf numFmtId="0" fontId="28" fillId="4" borderId="90" xfId="0" applyFont="1" applyFill="1" applyBorder="1" applyAlignment="1">
      <alignment horizontal="center" vertical="center"/>
    </xf>
    <xf numFmtId="0" fontId="28" fillId="0" borderId="91" xfId="0" applyFont="1" applyFill="1" applyBorder="1" applyAlignment="1">
      <alignment horizontal="center" vertical="center"/>
    </xf>
    <xf numFmtId="0" fontId="28" fillId="0" borderId="95" xfId="110" applyFont="1" applyBorder="1" applyAlignment="1">
      <alignment horizontal="center" vertical="center" wrapText="1"/>
    </xf>
    <xf numFmtId="0" fontId="28" fillId="0" borderId="78" xfId="110" applyFont="1" applyFill="1" applyBorder="1" applyAlignment="1">
      <alignment horizontal="center" vertical="center" wrapText="1"/>
    </xf>
    <xf numFmtId="0" fontId="28" fillId="4" borderId="79" xfId="0" applyFont="1" applyFill="1" applyBorder="1" applyAlignment="1">
      <alignment horizontal="center" vertical="center"/>
    </xf>
    <xf numFmtId="0" fontId="28" fillId="0" borderId="95" xfId="110" applyFont="1" applyBorder="1" applyAlignment="1">
      <alignment horizontal="center" vertical="center"/>
    </xf>
    <xf numFmtId="0" fontId="28" fillId="0" borderId="78" xfId="110" applyFont="1" applyBorder="1" applyAlignment="1">
      <alignment horizontal="center" vertical="center"/>
    </xf>
    <xf numFmtId="0" fontId="28" fillId="4" borderId="95" xfId="0" applyFont="1" applyFill="1" applyBorder="1" applyAlignment="1">
      <alignment horizontal="center" vertical="center"/>
    </xf>
    <xf numFmtId="0" fontId="28" fillId="4" borderId="78" xfId="0" applyFont="1" applyFill="1" applyBorder="1" applyAlignment="1">
      <alignment horizontal="center" vertical="center"/>
    </xf>
    <xf numFmtId="0" fontId="28" fillId="4" borderId="95" xfId="0" applyNumberFormat="1" applyFont="1" applyFill="1" applyBorder="1" applyAlignment="1">
      <alignment horizontal="center" vertical="center" wrapText="1"/>
    </xf>
    <xf numFmtId="0" fontId="28" fillId="4" borderId="78" xfId="0" applyNumberFormat="1" applyFont="1" applyFill="1" applyBorder="1" applyAlignment="1">
      <alignment horizontal="center" vertical="center" wrapText="1"/>
    </xf>
    <xf numFmtId="0" fontId="28" fillId="0" borderId="78" xfId="110" applyFont="1" applyBorder="1" applyAlignment="1">
      <alignment horizontal="center" vertical="center" wrapText="1"/>
    </xf>
    <xf numFmtId="0" fontId="28" fillId="4" borderId="104" xfId="0" applyFont="1" applyFill="1" applyBorder="1" applyAlignment="1">
      <alignment horizontal="center" vertical="center"/>
    </xf>
    <xf numFmtId="0" fontId="28" fillId="0" borderId="105" xfId="110" applyFont="1" applyBorder="1" applyAlignment="1">
      <alignment horizontal="center" vertical="center" wrapText="1"/>
    </xf>
    <xf numFmtId="0" fontId="28" fillId="4" borderId="107" xfId="0" applyFont="1" applyFill="1" applyBorder="1" applyAlignment="1">
      <alignment horizontal="center" vertical="center"/>
    </xf>
    <xf numFmtId="0" fontId="45" fillId="0" borderId="10" xfId="0" applyFont="1" applyFill="1" applyBorder="1" applyAlignment="1">
      <alignment horizontal="center" vertical="center"/>
    </xf>
    <xf numFmtId="0" fontId="83" fillId="0" borderId="132" xfId="0" applyFont="1" applyFill="1" applyBorder="1" applyAlignment="1">
      <alignment horizontal="center" vertical="center"/>
    </xf>
    <xf numFmtId="0" fontId="83" fillId="0" borderId="12" xfId="0" applyFont="1" applyFill="1" applyBorder="1" applyAlignment="1">
      <alignment horizontal="center" vertical="center"/>
    </xf>
    <xf numFmtId="3" fontId="45" fillId="0" borderId="59" xfId="0" applyNumberFormat="1" applyFont="1" applyFill="1" applyBorder="1" applyAlignment="1">
      <alignment horizontal="center" vertical="center"/>
    </xf>
    <xf numFmtId="0" fontId="45" fillId="0" borderId="10" xfId="0" applyFont="1" applyFill="1" applyBorder="1" applyAlignment="1">
      <alignment horizontal="center" vertical="center" wrapText="1"/>
    </xf>
    <xf numFmtId="166" fontId="28" fillId="36" borderId="59" xfId="0" applyNumberFormat="1" applyFont="1" applyFill="1" applyBorder="1" applyAlignment="1">
      <alignment horizontal="center" vertical="center"/>
    </xf>
    <xf numFmtId="3" fontId="28" fillId="36" borderId="133" xfId="0" applyNumberFormat="1" applyFont="1" applyFill="1" applyBorder="1" applyAlignment="1">
      <alignment horizontal="center" vertical="center"/>
    </xf>
    <xf numFmtId="3" fontId="28" fillId="36" borderId="59" xfId="0" applyNumberFormat="1" applyFont="1" applyFill="1" applyBorder="1" applyAlignment="1">
      <alignment horizontal="center" vertical="center"/>
    </xf>
    <xf numFmtId="4" fontId="50" fillId="0" borderId="99" xfId="0" applyNumberFormat="1" applyFont="1" applyFill="1" applyBorder="1" applyAlignment="1">
      <alignment horizontal="center" vertical="center"/>
    </xf>
    <xf numFmtId="4" fontId="50" fillId="0" borderId="78" xfId="0" applyNumberFormat="1" applyFont="1" applyFill="1" applyBorder="1" applyAlignment="1">
      <alignment horizontal="center" vertical="center"/>
    </xf>
    <xf numFmtId="4" fontId="50" fillId="0" borderId="97" xfId="0" applyNumberFormat="1" applyFont="1" applyFill="1" applyBorder="1" applyAlignment="1">
      <alignment horizontal="center" vertical="center"/>
    </xf>
    <xf numFmtId="175" fontId="50" fillId="0" borderId="97" xfId="0" applyNumberFormat="1" applyFont="1" applyFill="1" applyBorder="1" applyAlignment="1">
      <alignment horizontal="center" vertical="center"/>
    </xf>
    <xf numFmtId="170" fontId="50" fillId="0" borderId="97" xfId="0" applyNumberFormat="1" applyFont="1" applyFill="1" applyBorder="1" applyAlignment="1">
      <alignment horizontal="center" vertical="center"/>
    </xf>
    <xf numFmtId="4" fontId="50" fillId="0" borderId="76" xfId="0" applyNumberFormat="1" applyFont="1" applyFill="1" applyBorder="1" applyAlignment="1">
      <alignment horizontal="center" vertical="center"/>
    </xf>
    <xf numFmtId="182" fontId="50" fillId="0" borderId="80" xfId="0" applyNumberFormat="1" applyFont="1" applyFill="1" applyBorder="1" applyAlignment="1">
      <alignment horizontal="center" vertical="center"/>
    </xf>
    <xf numFmtId="170" fontId="50" fillId="0" borderId="80" xfId="0" applyNumberFormat="1" applyFont="1" applyFill="1" applyBorder="1" applyAlignment="1">
      <alignment horizontal="center" vertical="center"/>
    </xf>
    <xf numFmtId="3" fontId="28" fillId="0" borderId="77" xfId="0" applyNumberFormat="1" applyFont="1" applyFill="1" applyBorder="1" applyAlignment="1">
      <alignment horizontal="center" vertical="center"/>
    </xf>
    <xf numFmtId="170" fontId="10" fillId="0" borderId="109" xfId="0" applyNumberFormat="1" applyFont="1" applyFill="1" applyBorder="1" applyAlignment="1">
      <alignment horizontal="center" vertical="center"/>
    </xf>
    <xf numFmtId="3" fontId="10" fillId="0" borderId="109" xfId="0" applyNumberFormat="1" applyFont="1" applyFill="1" applyBorder="1" applyAlignment="1">
      <alignment horizontal="center" vertical="center"/>
    </xf>
    <xf numFmtId="170" fontId="10" fillId="0" borderId="103" xfId="0" applyNumberFormat="1" applyFont="1" applyFill="1" applyBorder="1" applyAlignment="1">
      <alignment horizontal="center" vertical="center"/>
    </xf>
    <xf numFmtId="3" fontId="10" fillId="0" borderId="103" xfId="0" applyNumberFormat="1" applyFont="1" applyFill="1" applyBorder="1" applyAlignment="1">
      <alignment horizontal="center" vertical="center"/>
    </xf>
    <xf numFmtId="0" fontId="10" fillId="4" borderId="0" xfId="0" applyFont="1" applyFill="1" applyAlignment="1">
      <alignment horizontal="left" vertical="top" wrapText="1"/>
    </xf>
    <xf numFmtId="0" fontId="69" fillId="61" borderId="10" xfId="0" applyFont="1" applyFill="1" applyBorder="1" applyAlignment="1">
      <alignment horizontal="center" vertical="center" wrapText="1"/>
    </xf>
    <xf numFmtId="0" fontId="69" fillId="61" borderId="18" xfId="0" applyFont="1" applyFill="1" applyBorder="1" applyAlignment="1">
      <alignment horizontal="center" vertical="center" wrapText="1"/>
    </xf>
    <xf numFmtId="0" fontId="69" fillId="61" borderId="11" xfId="0" applyFont="1" applyFill="1" applyBorder="1" applyAlignment="1">
      <alignment horizontal="center" vertical="center" wrapText="1"/>
    </xf>
    <xf numFmtId="0" fontId="69" fillId="61" borderId="9" xfId="0" applyFont="1" applyFill="1" applyBorder="1" applyAlignment="1">
      <alignment horizontal="center" vertical="center" wrapText="1"/>
    </xf>
    <xf numFmtId="10" fontId="12" fillId="0" borderId="59" xfId="0" applyNumberFormat="1" applyFont="1" applyFill="1" applyBorder="1" applyAlignment="1">
      <alignment horizontal="center" vertical="center"/>
    </xf>
    <xf numFmtId="170" fontId="10" fillId="0" borderId="129" xfId="0" applyNumberFormat="1" applyFont="1" applyFill="1" applyBorder="1" applyAlignment="1">
      <alignment horizontal="center" vertical="center"/>
    </xf>
    <xf numFmtId="3" fontId="10" fillId="0" borderId="129" xfId="0" applyNumberFormat="1" applyFont="1" applyFill="1" applyBorder="1" applyAlignment="1">
      <alignment horizontal="center" vertical="center"/>
    </xf>
    <xf numFmtId="4" fontId="10" fillId="0" borderId="92" xfId="0" applyNumberFormat="1" applyFont="1" applyFill="1" applyBorder="1" applyAlignment="1">
      <alignment horizontal="center" vertical="center"/>
    </xf>
    <xf numFmtId="4" fontId="10" fillId="0" borderId="79" xfId="0" applyNumberFormat="1" applyFont="1" applyFill="1" applyBorder="1" applyAlignment="1">
      <alignment horizontal="center" vertical="center"/>
    </xf>
    <xf numFmtId="170" fontId="13" fillId="0" borderId="61" xfId="0" applyNumberFormat="1" applyFont="1" applyFill="1" applyBorder="1" applyAlignment="1">
      <alignment horizontal="center" vertical="center"/>
    </xf>
    <xf numFmtId="3" fontId="0" fillId="0" borderId="126" xfId="0" applyNumberFormat="1" applyFill="1" applyBorder="1" applyAlignment="1">
      <alignment horizontal="center" vertical="center"/>
    </xf>
    <xf numFmtId="170" fontId="0" fillId="0" borderId="100" xfId="0" applyNumberFormat="1" applyFill="1" applyBorder="1" applyAlignment="1">
      <alignment horizontal="center" vertical="center"/>
    </xf>
    <xf numFmtId="170" fontId="0" fillId="0" borderId="45" xfId="0" applyNumberFormat="1" applyFill="1" applyBorder="1" applyAlignment="1">
      <alignment horizontal="center" vertical="center"/>
    </xf>
    <xf numFmtId="3" fontId="13" fillId="0" borderId="61" xfId="0" applyNumberFormat="1" applyFont="1" applyFill="1" applyBorder="1" applyAlignment="1">
      <alignment horizontal="center" vertical="center"/>
    </xf>
    <xf numFmtId="3" fontId="0" fillId="0" borderId="100" xfId="0" applyNumberFormat="1" applyFill="1" applyBorder="1" applyAlignment="1">
      <alignment horizontal="center" vertical="center"/>
    </xf>
    <xf numFmtId="3" fontId="0" fillId="0" borderId="45" xfId="0" applyNumberFormat="1" applyFill="1" applyBorder="1" applyAlignment="1">
      <alignment horizontal="center" vertical="center"/>
    </xf>
    <xf numFmtId="3" fontId="0" fillId="0" borderId="95" xfId="0" applyNumberFormat="1" applyFill="1" applyBorder="1" applyAlignment="1">
      <alignment horizontal="center" vertical="center"/>
    </xf>
    <xf numFmtId="4" fontId="0" fillId="0" borderId="103" xfId="0" applyNumberFormat="1" applyFill="1" applyBorder="1" applyAlignment="1">
      <alignment horizontal="center" vertical="center"/>
    </xf>
    <xf numFmtId="3" fontId="0" fillId="0" borderId="103" xfId="0" applyNumberFormat="1" applyFill="1" applyBorder="1" applyAlignment="1">
      <alignment horizontal="center" vertical="center"/>
    </xf>
    <xf numFmtId="3" fontId="0" fillId="0" borderId="104" xfId="0" applyNumberFormat="1" applyFill="1" applyBorder="1" applyAlignment="1">
      <alignment horizontal="center" vertical="center"/>
    </xf>
    <xf numFmtId="4" fontId="0" fillId="0" borderId="106" xfId="0" applyNumberFormat="1" applyFill="1" applyBorder="1" applyAlignment="1">
      <alignment horizontal="center" vertical="center"/>
    </xf>
    <xf numFmtId="3" fontId="0" fillId="0" borderId="106" xfId="0" applyNumberFormat="1" applyFill="1" applyBorder="1" applyAlignment="1">
      <alignment horizontal="center" vertical="center"/>
    </xf>
    <xf numFmtId="171" fontId="0" fillId="0" borderId="107" xfId="0" applyNumberFormat="1" applyFill="1" applyBorder="1" applyAlignment="1">
      <alignment horizontal="center" vertical="center"/>
    </xf>
    <xf numFmtId="168" fontId="10" fillId="0" borderId="141" xfId="0" applyNumberFormat="1" applyFont="1" applyFill="1" applyBorder="1" applyAlignment="1">
      <alignment horizontal="center" vertical="center"/>
    </xf>
    <xf numFmtId="171" fontId="0" fillId="0" borderId="129" xfId="0" applyNumberFormat="1" applyFill="1" applyBorder="1" applyAlignment="1">
      <alignment horizontal="center" vertical="center"/>
    </xf>
    <xf numFmtId="3" fontId="0" fillId="0" borderId="129" xfId="0" applyNumberFormat="1" applyFill="1" applyBorder="1" applyAlignment="1">
      <alignment horizontal="center" vertical="center"/>
    </xf>
    <xf numFmtId="181" fontId="0" fillId="0" borderId="92" xfId="0" applyNumberFormat="1" applyFill="1" applyBorder="1" applyAlignment="1">
      <alignment horizontal="center" vertical="center"/>
    </xf>
    <xf numFmtId="168" fontId="10" fillId="0" borderId="140" xfId="0" applyNumberFormat="1" applyFont="1" applyFill="1" applyBorder="1" applyAlignment="1">
      <alignment horizontal="center" vertical="center"/>
    </xf>
    <xf numFmtId="171" fontId="0" fillId="0" borderId="103" xfId="0" applyNumberFormat="1" applyFill="1" applyBorder="1" applyAlignment="1">
      <alignment horizontal="center" vertical="center"/>
    </xf>
    <xf numFmtId="181" fontId="0" fillId="0" borderId="79" xfId="0" applyNumberFormat="1" applyFill="1" applyBorder="1" applyAlignment="1">
      <alignment horizontal="center" vertical="center"/>
    </xf>
    <xf numFmtId="168" fontId="10" fillId="0" borderId="142" xfId="0" applyNumberFormat="1" applyFont="1" applyFill="1" applyBorder="1" applyAlignment="1">
      <alignment horizontal="center" vertical="center"/>
    </xf>
    <xf numFmtId="171" fontId="0" fillId="0" borderId="106" xfId="0" applyNumberFormat="1" applyFill="1" applyBorder="1" applyAlignment="1">
      <alignment horizontal="center" vertical="center"/>
    </xf>
    <xf numFmtId="181" fontId="0" fillId="0" borderId="107" xfId="0" applyNumberFormat="1" applyFill="1" applyBorder="1" applyAlignment="1">
      <alignment horizontal="center" vertical="center"/>
    </xf>
    <xf numFmtId="3" fontId="10" fillId="68" borderId="78" xfId="0" applyNumberFormat="1" applyFont="1" applyFill="1" applyBorder="1" applyAlignment="1">
      <alignment horizontal="center" vertical="center"/>
    </xf>
    <xf numFmtId="3" fontId="10" fillId="68" borderId="91" xfId="0" applyNumberFormat="1" applyFont="1" applyFill="1" applyBorder="1" applyAlignment="1">
      <alignment horizontal="center" vertical="center"/>
    </xf>
    <xf numFmtId="3" fontId="10" fillId="68" borderId="80" xfId="0" applyNumberFormat="1" applyFont="1" applyFill="1" applyBorder="1" applyAlignment="1">
      <alignment horizontal="center" vertical="center"/>
    </xf>
    <xf numFmtId="3" fontId="0" fillId="68" borderId="76" xfId="0" applyNumberFormat="1" applyFill="1" applyBorder="1" applyAlignment="1">
      <alignment horizontal="center" vertical="center"/>
    </xf>
    <xf numFmtId="3" fontId="0" fillId="68" borderId="78" xfId="0" applyNumberFormat="1" applyFill="1" applyBorder="1" applyAlignment="1">
      <alignment horizontal="center" vertical="center"/>
    </xf>
    <xf numFmtId="3" fontId="0" fillId="68" borderId="80" xfId="0" applyNumberFormat="1" applyFill="1" applyBorder="1" applyAlignment="1">
      <alignment horizontal="center" vertical="center"/>
    </xf>
    <xf numFmtId="3" fontId="0" fillId="68" borderId="18" xfId="0" applyNumberFormat="1" applyFill="1" applyBorder="1" applyAlignment="1">
      <alignment horizontal="center" vertical="center"/>
    </xf>
    <xf numFmtId="3" fontId="10" fillId="68" borderId="18" xfId="0" applyNumberFormat="1" applyFont="1" applyFill="1" applyBorder="1" applyAlignment="1">
      <alignment horizontal="center" vertical="center"/>
    </xf>
    <xf numFmtId="3" fontId="10" fillId="68" borderId="76" xfId="0" applyNumberFormat="1" applyFont="1" applyFill="1" applyBorder="1" applyAlignment="1">
      <alignment horizontal="center" vertical="center"/>
    </xf>
    <xf numFmtId="0" fontId="69" fillId="2" borderId="40" xfId="0" applyFont="1" applyFill="1" applyBorder="1" applyAlignment="1">
      <alignment horizontal="center" vertical="center" wrapText="1"/>
    </xf>
    <xf numFmtId="3" fontId="10" fillId="68" borderId="129" xfId="0" applyNumberFormat="1" applyFont="1" applyFill="1" applyBorder="1" applyAlignment="1">
      <alignment horizontal="center" vertical="center"/>
    </xf>
    <xf numFmtId="3" fontId="10" fillId="68" borderId="103" xfId="0" applyNumberFormat="1" applyFont="1" applyFill="1" applyBorder="1" applyAlignment="1">
      <alignment horizontal="center" vertical="center"/>
    </xf>
    <xf numFmtId="3" fontId="10" fillId="68" borderId="98" xfId="0" applyNumberFormat="1" applyFont="1" applyFill="1" applyBorder="1" applyAlignment="1">
      <alignment horizontal="center" vertical="center"/>
    </xf>
    <xf numFmtId="3" fontId="13" fillId="0" borderId="127" xfId="0" applyNumberFormat="1" applyFont="1" applyFill="1" applyBorder="1" applyAlignment="1">
      <alignment horizontal="center" vertical="center"/>
    </xf>
    <xf numFmtId="3" fontId="10" fillId="68" borderId="123" xfId="0" applyNumberFormat="1" applyFont="1" applyFill="1" applyBorder="1" applyAlignment="1">
      <alignment horizontal="center" vertical="center"/>
    </xf>
    <xf numFmtId="3" fontId="0" fillId="68" borderId="103" xfId="0" applyNumberFormat="1" applyFill="1" applyBorder="1" applyAlignment="1">
      <alignment horizontal="center" vertical="center"/>
    </xf>
    <xf numFmtId="3" fontId="10" fillId="0" borderId="98" xfId="0" applyNumberFormat="1" applyFont="1" applyFill="1" applyBorder="1" applyAlignment="1">
      <alignment horizontal="center" vertical="center"/>
    </xf>
    <xf numFmtId="3" fontId="10" fillId="0" borderId="40" xfId="0" applyNumberFormat="1" applyFont="1" applyFill="1" applyBorder="1" applyAlignment="1">
      <alignment horizontal="center" vertical="center"/>
    </xf>
    <xf numFmtId="3" fontId="13" fillId="4" borderId="135" xfId="0" applyNumberFormat="1" applyFont="1" applyFill="1" applyBorder="1" applyAlignment="1">
      <alignment horizontal="center" vertical="center"/>
    </xf>
    <xf numFmtId="3" fontId="13" fillId="4" borderId="43" xfId="0" applyNumberFormat="1" applyFont="1" applyFill="1" applyBorder="1" applyAlignment="1">
      <alignment horizontal="center"/>
    </xf>
    <xf numFmtId="0" fontId="69" fillId="2" borderId="86" xfId="0" applyFont="1" applyFill="1" applyBorder="1" applyAlignment="1">
      <alignment horizontal="center" vertical="center" wrapText="1"/>
    </xf>
    <xf numFmtId="3" fontId="10" fillId="68" borderId="141" xfId="0" applyNumberFormat="1" applyFont="1" applyFill="1" applyBorder="1" applyAlignment="1">
      <alignment horizontal="center" vertical="center"/>
    </xf>
    <xf numFmtId="3" fontId="10" fillId="68" borderId="140" xfId="0" applyNumberFormat="1" applyFont="1" applyFill="1" applyBorder="1" applyAlignment="1">
      <alignment horizontal="center" vertical="center"/>
    </xf>
    <xf numFmtId="3" fontId="10" fillId="68" borderId="151" xfId="0" applyNumberFormat="1" applyFont="1" applyFill="1" applyBorder="1" applyAlignment="1">
      <alignment horizontal="center" vertical="center"/>
    </xf>
    <xf numFmtId="3" fontId="13" fillId="0" borderId="152" xfId="0" applyNumberFormat="1" applyFont="1" applyFill="1" applyBorder="1" applyAlignment="1">
      <alignment horizontal="center" vertical="center"/>
    </xf>
    <xf numFmtId="3" fontId="10" fillId="68" borderId="153" xfId="0" applyNumberFormat="1" applyFont="1" applyFill="1" applyBorder="1" applyAlignment="1">
      <alignment horizontal="center" vertical="center"/>
    </xf>
    <xf numFmtId="3" fontId="0" fillId="68" borderId="140" xfId="0" applyNumberFormat="1" applyFill="1" applyBorder="1" applyAlignment="1">
      <alignment horizontal="center" vertical="center"/>
    </xf>
    <xf numFmtId="170" fontId="10" fillId="0" borderId="151" xfId="0" applyNumberFormat="1" applyFont="1" applyFill="1" applyBorder="1" applyAlignment="1">
      <alignment horizontal="center" vertical="center"/>
    </xf>
    <xf numFmtId="170" fontId="10" fillId="0" borderId="86" xfId="0" applyNumberFormat="1" applyFont="1" applyFill="1" applyBorder="1" applyAlignment="1">
      <alignment horizontal="center" vertical="center"/>
    </xf>
    <xf numFmtId="170" fontId="13" fillId="4" borderId="42" xfId="0" applyNumberFormat="1" applyFont="1" applyFill="1" applyBorder="1" applyAlignment="1">
      <alignment horizontal="center"/>
    </xf>
    <xf numFmtId="170" fontId="10" fillId="0" borderId="90" xfId="0" applyNumberFormat="1" applyFont="1" applyFill="1" applyBorder="1" applyAlignment="1">
      <alignment horizontal="center" vertical="center"/>
    </xf>
    <xf numFmtId="170" fontId="10" fillId="0" borderId="93" xfId="0" applyNumberFormat="1" applyFont="1" applyFill="1" applyBorder="1" applyAlignment="1">
      <alignment horizontal="center" vertical="center"/>
    </xf>
    <xf numFmtId="170" fontId="13" fillId="0" borderId="28" xfId="0" applyNumberFormat="1" applyFont="1" applyFill="1" applyBorder="1" applyAlignment="1">
      <alignment horizontal="center" vertical="center"/>
    </xf>
    <xf numFmtId="170" fontId="10" fillId="0" borderId="94" xfId="0" applyNumberFormat="1" applyFont="1" applyFill="1" applyBorder="1" applyAlignment="1">
      <alignment horizontal="center" vertical="center"/>
    </xf>
    <xf numFmtId="170" fontId="13" fillId="0" borderId="84" xfId="0" applyNumberFormat="1" applyFont="1" applyFill="1" applyBorder="1" applyAlignment="1">
      <alignment horizontal="center" vertical="center"/>
    </xf>
    <xf numFmtId="170" fontId="10" fillId="0" borderId="10" xfId="0" applyNumberFormat="1" applyFont="1" applyFill="1" applyBorder="1" applyAlignment="1">
      <alignment horizontal="center" vertical="center"/>
    </xf>
    <xf numFmtId="170" fontId="13" fillId="0" borderId="4" xfId="0" applyNumberFormat="1" applyFont="1" applyFill="1" applyBorder="1" applyAlignment="1">
      <alignment horizontal="center" vertical="center"/>
    </xf>
    <xf numFmtId="0" fontId="69" fillId="65" borderId="11" xfId="0" applyFont="1" applyFill="1" applyBorder="1" applyAlignment="1">
      <alignment horizontal="center" vertical="center" wrapText="1"/>
    </xf>
    <xf numFmtId="3" fontId="10" fillId="68" borderId="92" xfId="0" applyNumberFormat="1" applyFont="1" applyFill="1" applyBorder="1" applyAlignment="1">
      <alignment horizontal="center" vertical="center"/>
    </xf>
    <xf numFmtId="3" fontId="10" fillId="68" borderId="95" xfId="0" applyNumberFormat="1" applyFont="1" applyFill="1" applyBorder="1" applyAlignment="1">
      <alignment horizontal="center" vertical="center"/>
    </xf>
    <xf numFmtId="3" fontId="10" fillId="68" borderId="79" xfId="0" applyNumberFormat="1" applyFont="1" applyFill="1" applyBorder="1" applyAlignment="1">
      <alignment horizontal="center" vertical="center"/>
    </xf>
    <xf numFmtId="3" fontId="10" fillId="0" borderId="95" xfId="0" applyNumberFormat="1" applyFont="1" applyFill="1" applyBorder="1" applyAlignment="1">
      <alignment horizontal="center" vertical="center"/>
    </xf>
    <xf numFmtId="3" fontId="10" fillId="68" borderId="93" xfId="0" applyNumberFormat="1" applyFont="1" applyFill="1" applyBorder="1" applyAlignment="1">
      <alignment horizontal="center" vertical="center"/>
    </xf>
    <xf numFmtId="3" fontId="10" fillId="68" borderId="81" xfId="0" applyNumberFormat="1" applyFont="1" applyFill="1" applyBorder="1" applyAlignment="1">
      <alignment horizontal="center" vertical="center"/>
    </xf>
    <xf numFmtId="3" fontId="13" fillId="0" borderId="45" xfId="0" applyNumberFormat="1" applyFont="1" applyFill="1" applyBorder="1" applyAlignment="1">
      <alignment horizontal="center" vertical="center"/>
    </xf>
    <xf numFmtId="3" fontId="0" fillId="68" borderId="77" xfId="0" applyNumberFormat="1" applyFill="1" applyBorder="1" applyAlignment="1">
      <alignment horizontal="center" vertical="center"/>
    </xf>
    <xf numFmtId="3" fontId="0" fillId="68" borderId="95" xfId="0" applyNumberFormat="1" applyFill="1" applyBorder="1" applyAlignment="1">
      <alignment horizontal="center" vertical="center"/>
    </xf>
    <xf numFmtId="3" fontId="0" fillId="68" borderId="79" xfId="0" applyNumberFormat="1" applyFill="1" applyBorder="1" applyAlignment="1">
      <alignment horizontal="center" vertical="center"/>
    </xf>
    <xf numFmtId="3" fontId="10" fillId="68" borderId="11" xfId="0" applyNumberFormat="1" applyFont="1" applyFill="1" applyBorder="1" applyAlignment="1">
      <alignment horizontal="center" vertical="center"/>
    </xf>
    <xf numFmtId="3" fontId="13" fillId="0" borderId="4" xfId="0" applyNumberFormat="1" applyFont="1" applyFill="1" applyBorder="1" applyAlignment="1">
      <alignment horizontal="center"/>
    </xf>
    <xf numFmtId="4" fontId="13" fillId="0" borderId="5" xfId="0" applyNumberFormat="1" applyFont="1" applyFill="1" applyBorder="1" applyAlignment="1">
      <alignment horizontal="center"/>
    </xf>
    <xf numFmtId="0" fontId="69" fillId="61" borderId="22" xfId="0" applyFont="1" applyFill="1" applyBorder="1" applyAlignment="1">
      <alignment horizontal="center" vertical="center"/>
    </xf>
    <xf numFmtId="0" fontId="10" fillId="0" borderId="111" xfId="0" applyFont="1" applyFill="1" applyBorder="1" applyAlignment="1">
      <alignment horizontal="center" vertical="center" wrapText="1"/>
    </xf>
    <xf numFmtId="0" fontId="10" fillId="0" borderId="11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69" fillId="65" borderId="86" xfId="0" applyFont="1" applyFill="1" applyBorder="1" applyAlignment="1">
      <alignment horizontal="center" vertical="center" wrapText="1"/>
    </xf>
    <xf numFmtId="3" fontId="10" fillId="0" borderId="140" xfId="0" applyNumberFormat="1" applyFont="1" applyFill="1" applyBorder="1" applyAlignment="1">
      <alignment horizontal="center" vertical="center"/>
    </xf>
    <xf numFmtId="3" fontId="0" fillId="68" borderId="153" xfId="0" applyNumberFormat="1" applyFill="1" applyBorder="1" applyAlignment="1">
      <alignment horizontal="center" vertical="center"/>
    </xf>
    <xf numFmtId="3" fontId="10" fillId="68" borderId="86" xfId="0" applyNumberFormat="1" applyFont="1" applyFill="1" applyBorder="1" applyAlignment="1">
      <alignment horizontal="center" vertical="center"/>
    </xf>
    <xf numFmtId="3" fontId="13" fillId="0" borderId="42" xfId="0" applyNumberFormat="1" applyFont="1" applyFill="1" applyBorder="1" applyAlignment="1">
      <alignment horizontal="center"/>
    </xf>
    <xf numFmtId="3" fontId="0" fillId="0" borderId="140" xfId="0" applyNumberFormat="1" applyFill="1" applyBorder="1" applyAlignment="1">
      <alignment horizontal="center" vertical="center"/>
    </xf>
    <xf numFmtId="0" fontId="69" fillId="64" borderId="10" xfId="0" applyFont="1" applyFill="1" applyBorder="1" applyAlignment="1">
      <alignment horizontal="center" vertical="center" wrapText="1"/>
    </xf>
    <xf numFmtId="0" fontId="69" fillId="64" borderId="11" xfId="0" applyFont="1" applyFill="1" applyBorder="1" applyAlignment="1">
      <alignment horizontal="center" vertical="center" wrapText="1"/>
    </xf>
    <xf numFmtId="3" fontId="10" fillId="0" borderId="90" xfId="0" applyNumberFormat="1" applyFont="1" applyFill="1" applyBorder="1" applyAlignment="1">
      <alignment horizontal="center" vertical="center"/>
    </xf>
    <xf numFmtId="3" fontId="10" fillId="0" borderId="93" xfId="0" applyNumberFormat="1" applyFont="1" applyFill="1" applyBorder="1" applyAlignment="1">
      <alignment horizontal="center" vertical="center"/>
    </xf>
    <xf numFmtId="3" fontId="0" fillId="0" borderId="94" xfId="0" applyNumberFormat="1" applyFill="1" applyBorder="1" applyAlignment="1">
      <alignment horizontal="center" vertical="center"/>
    </xf>
    <xf numFmtId="3" fontId="0" fillId="68" borderId="93" xfId="0" applyNumberFormat="1" applyFill="1" applyBorder="1" applyAlignment="1">
      <alignment horizontal="center" vertical="center"/>
    </xf>
    <xf numFmtId="3" fontId="0" fillId="68" borderId="81" xfId="0" applyNumberFormat="1" applyFill="1" applyBorder="1" applyAlignment="1">
      <alignment horizontal="center" vertical="center"/>
    </xf>
    <xf numFmtId="3" fontId="0" fillId="68" borderId="10" xfId="0" applyNumberFormat="1" applyFill="1" applyBorder="1" applyAlignment="1">
      <alignment horizontal="center" vertical="center"/>
    </xf>
    <xf numFmtId="3" fontId="0" fillId="68" borderId="11" xfId="0" applyNumberFormat="1" applyFill="1" applyBorder="1" applyAlignment="1">
      <alignment horizontal="center" vertical="center"/>
    </xf>
    <xf numFmtId="3" fontId="13" fillId="0" borderId="5" xfId="0" applyNumberFormat="1" applyFont="1" applyFill="1" applyBorder="1" applyAlignment="1">
      <alignment horizontal="center"/>
    </xf>
    <xf numFmtId="0" fontId="69" fillId="63" borderId="10" xfId="0" applyFont="1" applyFill="1" applyBorder="1" applyAlignment="1">
      <alignment horizontal="center" vertical="center" wrapText="1"/>
    </xf>
    <xf numFmtId="0" fontId="69" fillId="63" borderId="11" xfId="0" applyFont="1" applyFill="1" applyBorder="1" applyAlignment="1">
      <alignment horizontal="center" vertical="center" wrapText="1"/>
    </xf>
    <xf numFmtId="3" fontId="10" fillId="0" borderId="92" xfId="0" applyNumberFormat="1" applyFont="1" applyFill="1" applyBorder="1" applyAlignment="1">
      <alignment horizontal="center" vertical="center"/>
    </xf>
    <xf numFmtId="3" fontId="0" fillId="0" borderId="77" xfId="0" applyNumberFormat="1" applyFill="1" applyBorder="1" applyAlignment="1">
      <alignment horizontal="center" vertical="center"/>
    </xf>
    <xf numFmtId="3" fontId="50" fillId="42" borderId="99" xfId="0" applyNumberFormat="1" applyFont="1" applyFill="1" applyBorder="1" applyAlignment="1">
      <alignment horizontal="center" vertical="center"/>
    </xf>
    <xf numFmtId="3" fontId="50" fillId="42" borderId="78" xfId="0" applyNumberFormat="1" applyFont="1" applyFill="1" applyBorder="1" applyAlignment="1">
      <alignment horizontal="center" vertical="center"/>
    </xf>
    <xf numFmtId="3" fontId="50" fillId="42" borderId="97" xfId="0" applyNumberFormat="1" applyFont="1" applyFill="1" applyBorder="1" applyAlignment="1">
      <alignment horizontal="center" vertical="center"/>
    </xf>
    <xf numFmtId="3" fontId="50" fillId="42" borderId="76" xfId="0" applyNumberFormat="1" applyFont="1" applyFill="1" applyBorder="1" applyAlignment="1">
      <alignment horizontal="center" vertical="center"/>
    </xf>
    <xf numFmtId="3" fontId="45" fillId="68" borderId="45" xfId="0" applyNumberFormat="1" applyFont="1" applyFill="1" applyBorder="1" applyAlignment="1">
      <alignment horizontal="center" vertical="center"/>
    </xf>
    <xf numFmtId="3" fontId="45" fillId="68" borderId="108" xfId="0" applyNumberFormat="1" applyFont="1" applyFill="1" applyBorder="1" applyAlignment="1">
      <alignment horizontal="center" vertical="center"/>
    </xf>
    <xf numFmtId="3" fontId="45" fillId="68" borderId="81" xfId="0" applyNumberFormat="1" applyFont="1" applyFill="1" applyBorder="1" applyAlignment="1">
      <alignment horizontal="center" vertical="center"/>
    </xf>
    <xf numFmtId="3" fontId="50" fillId="68" borderId="97" xfId="0" applyNumberFormat="1" applyFont="1" applyFill="1" applyBorder="1" applyAlignment="1">
      <alignment horizontal="center" vertical="center"/>
    </xf>
    <xf numFmtId="3" fontId="50" fillId="68" borderId="78" xfId="0" applyNumberFormat="1" applyFont="1" applyFill="1" applyBorder="1" applyAlignment="1">
      <alignment horizontal="center" vertical="center"/>
    </xf>
    <xf numFmtId="3" fontId="50" fillId="68" borderId="80" xfId="0" applyNumberFormat="1" applyFont="1" applyFill="1" applyBorder="1" applyAlignment="1">
      <alignment horizontal="center" vertical="center"/>
    </xf>
    <xf numFmtId="3" fontId="28" fillId="42" borderId="78" xfId="0" applyNumberFormat="1" applyFont="1" applyFill="1" applyBorder="1" applyAlignment="1">
      <alignment horizontal="center" vertical="center"/>
    </xf>
    <xf numFmtId="10" fontId="28" fillId="42" borderId="78" xfId="0" applyNumberFormat="1" applyFont="1" applyFill="1" applyBorder="1" applyAlignment="1">
      <alignment horizontal="center" vertical="center"/>
    </xf>
    <xf numFmtId="3" fontId="28" fillId="42" borderId="97" xfId="0" applyNumberFormat="1" applyFont="1" applyFill="1" applyBorder="1" applyAlignment="1">
      <alignment horizontal="center" vertical="center"/>
    </xf>
    <xf numFmtId="3" fontId="0" fillId="0" borderId="143" xfId="0" applyNumberFormat="1" applyFill="1" applyBorder="1" applyAlignment="1">
      <alignment horizontal="center" vertical="center"/>
    </xf>
    <xf numFmtId="171" fontId="0" fillId="0" borderId="116" xfId="0" applyNumberFormat="1" applyFill="1" applyBorder="1" applyAlignment="1">
      <alignment horizontal="center" vertical="center"/>
    </xf>
    <xf numFmtId="3" fontId="0" fillId="0" borderId="116" xfId="0" applyNumberFormat="1" applyFill="1" applyBorder="1" applyAlignment="1">
      <alignment horizontal="center" vertical="center"/>
    </xf>
    <xf numFmtId="171" fontId="0" fillId="0" borderId="108" xfId="0" applyNumberFormat="1" applyFill="1" applyBorder="1" applyAlignment="1">
      <alignment horizontal="center" vertical="center"/>
    </xf>
    <xf numFmtId="0" fontId="18" fillId="0" borderId="5" xfId="2" applyFill="1" applyBorder="1" applyAlignment="1" applyProtection="1">
      <alignment horizontal="center" vertical="center"/>
    </xf>
    <xf numFmtId="3" fontId="10" fillId="68" borderId="94" xfId="0" applyNumberFormat="1" applyFont="1" applyFill="1" applyBorder="1" applyAlignment="1">
      <alignment horizontal="center" vertical="center"/>
    </xf>
    <xf numFmtId="3" fontId="10" fillId="68" borderId="77" xfId="0" applyNumberFormat="1" applyFont="1" applyFill="1" applyBorder="1" applyAlignment="1">
      <alignment horizontal="center" vertical="center"/>
    </xf>
    <xf numFmtId="0" fontId="10" fillId="4" borderId="115" xfId="0" applyFont="1" applyFill="1" applyBorder="1" applyAlignment="1">
      <alignment horizontal="center" vertical="center"/>
    </xf>
    <xf numFmtId="3" fontId="0" fillId="4" borderId="99" xfId="0" applyNumberFormat="1" applyFill="1" applyBorder="1" applyAlignment="1">
      <alignment horizontal="center" vertical="center"/>
    </xf>
    <xf numFmtId="4" fontId="0" fillId="4" borderId="99" xfId="0" applyNumberFormat="1" applyFill="1" applyBorder="1" applyAlignment="1">
      <alignment horizontal="center" vertical="center"/>
    </xf>
    <xf numFmtId="3" fontId="0" fillId="59" borderId="99" xfId="0" applyNumberFormat="1" applyFill="1" applyBorder="1" applyAlignment="1">
      <alignment horizontal="center" vertical="center"/>
    </xf>
    <xf numFmtId="170" fontId="0" fillId="4" borderId="99" xfId="0" applyNumberFormat="1" applyFill="1" applyBorder="1" applyAlignment="1">
      <alignment horizontal="center" vertical="center"/>
    </xf>
    <xf numFmtId="3" fontId="0" fillId="4" borderId="126" xfId="0" applyNumberFormat="1" applyFill="1" applyBorder="1" applyAlignment="1">
      <alignment horizontal="center" vertical="center"/>
    </xf>
    <xf numFmtId="181" fontId="0" fillId="4" borderId="99" xfId="0" applyNumberFormat="1" applyFill="1" applyBorder="1" applyAlignment="1">
      <alignment horizontal="center" vertical="center"/>
    </xf>
    <xf numFmtId="184" fontId="0" fillId="59" borderId="100" xfId="0" applyNumberFormat="1" applyFill="1" applyBorder="1" applyAlignment="1">
      <alignment horizontal="center" vertical="center"/>
    </xf>
    <xf numFmtId="3" fontId="28" fillId="42" borderId="91" xfId="0" applyNumberFormat="1" applyFont="1" applyFill="1" applyBorder="1" applyAlignment="1">
      <alignment horizontal="center" vertical="center"/>
    </xf>
    <xf numFmtId="3" fontId="28" fillId="42" borderId="105" xfId="0" applyNumberFormat="1" applyFont="1" applyFill="1" applyBorder="1" applyAlignment="1">
      <alignment horizontal="center" vertical="center"/>
    </xf>
    <xf numFmtId="170" fontId="28" fillId="42" borderId="91" xfId="0" applyNumberFormat="1" applyFont="1" applyFill="1" applyBorder="1" applyAlignment="1">
      <alignment horizontal="center" vertical="center"/>
    </xf>
    <xf numFmtId="170" fontId="28" fillId="42" borderId="78" xfId="0" applyNumberFormat="1" applyFont="1" applyFill="1" applyBorder="1" applyAlignment="1">
      <alignment horizontal="center" vertical="center"/>
    </xf>
    <xf numFmtId="170" fontId="28" fillId="42" borderId="105" xfId="0" applyNumberFormat="1" applyFont="1" applyFill="1" applyBorder="1" applyAlignment="1">
      <alignment horizontal="center" vertical="center"/>
    </xf>
    <xf numFmtId="4" fontId="28" fillId="42" borderId="91" xfId="0" applyNumberFormat="1" applyFont="1" applyFill="1" applyBorder="1" applyAlignment="1">
      <alignment horizontal="center" vertical="center"/>
    </xf>
    <xf numFmtId="4" fontId="28" fillId="42" borderId="78" xfId="0" applyNumberFormat="1" applyFont="1" applyFill="1" applyBorder="1" applyAlignment="1">
      <alignment horizontal="center" vertical="center"/>
    </xf>
    <xf numFmtId="4" fontId="28" fillId="42" borderId="105" xfId="0" applyNumberFormat="1" applyFont="1" applyFill="1" applyBorder="1" applyAlignment="1">
      <alignment horizontal="center" vertical="center"/>
    </xf>
    <xf numFmtId="4" fontId="28" fillId="0" borderId="91" xfId="0" applyNumberFormat="1" applyFont="1" applyFill="1" applyBorder="1" applyAlignment="1">
      <alignment horizontal="center" vertical="center"/>
    </xf>
    <xf numFmtId="3" fontId="28" fillId="0" borderId="91" xfId="0" applyNumberFormat="1" applyFont="1" applyFill="1" applyBorder="1" applyAlignment="1">
      <alignment horizontal="center" vertical="center"/>
    </xf>
    <xf numFmtId="4" fontId="28" fillId="0" borderId="92" xfId="0" applyNumberFormat="1" applyFont="1" applyFill="1" applyBorder="1" applyAlignment="1">
      <alignment horizontal="center" vertical="center"/>
    </xf>
    <xf numFmtId="4" fontId="28" fillId="0" borderId="97" xfId="0" applyNumberFormat="1" applyFont="1" applyFill="1" applyBorder="1" applyAlignment="1">
      <alignment horizontal="center" vertical="center"/>
    </xf>
    <xf numFmtId="3" fontId="28" fillId="0" borderId="97" xfId="0" applyNumberFormat="1" applyFont="1" applyFill="1" applyBorder="1" applyAlignment="1">
      <alignment horizontal="center" vertical="center"/>
    </xf>
    <xf numFmtId="4" fontId="28" fillId="0" borderId="108" xfId="0" applyNumberFormat="1" applyFont="1" applyFill="1" applyBorder="1" applyAlignment="1">
      <alignment horizontal="center" vertical="center"/>
    </xf>
    <xf numFmtId="4" fontId="28" fillId="0" borderId="79" xfId="0" applyNumberFormat="1" applyFont="1" applyFill="1" applyBorder="1" applyAlignment="1">
      <alignment horizontal="center" vertical="center"/>
    </xf>
    <xf numFmtId="181" fontId="10" fillId="0" borderId="105" xfId="0" applyNumberFormat="1" applyFont="1" applyFill="1" applyBorder="1" applyAlignment="1">
      <alignment horizontal="center" vertical="center"/>
    </xf>
    <xf numFmtId="170" fontId="10" fillId="0" borderId="105" xfId="0" applyNumberFormat="1" applyFont="1" applyFill="1" applyBorder="1" applyAlignment="1">
      <alignment horizontal="center" vertical="center"/>
    </xf>
    <xf numFmtId="182" fontId="10" fillId="0" borderId="107" xfId="0" applyNumberFormat="1" applyFont="1" applyFill="1" applyBorder="1" applyAlignment="1">
      <alignment horizontal="center" vertical="center"/>
    </xf>
    <xf numFmtId="182" fontId="10" fillId="0" borderId="105" xfId="0" applyNumberFormat="1" applyFont="1" applyFill="1" applyBorder="1" applyAlignment="1">
      <alignment horizontal="center" vertical="center"/>
    </xf>
    <xf numFmtId="3" fontId="28" fillId="0" borderId="61" xfId="0" applyNumberFormat="1" applyFont="1" applyFill="1" applyBorder="1" applyAlignment="1">
      <alignment horizontal="center" vertical="center"/>
    </xf>
    <xf numFmtId="4" fontId="28" fillId="0" borderId="61" xfId="0" applyNumberFormat="1" applyFont="1" applyFill="1" applyBorder="1" applyAlignment="1">
      <alignment horizontal="center" vertical="center"/>
    </xf>
    <xf numFmtId="4" fontId="28" fillId="0" borderId="18" xfId="0" applyNumberFormat="1" applyFont="1" applyFill="1" applyBorder="1" applyAlignment="1">
      <alignment horizontal="center" vertical="center"/>
    </xf>
    <xf numFmtId="171" fontId="28" fillId="0" borderId="11" xfId="0" applyNumberFormat="1" applyFont="1" applyFill="1" applyBorder="1" applyAlignment="1">
      <alignment horizontal="center" vertical="center"/>
    </xf>
    <xf numFmtId="166" fontId="13" fillId="42" borderId="13" xfId="0" applyNumberFormat="1" applyFont="1" applyFill="1" applyBorder="1" applyAlignment="1">
      <alignment horizontal="center" vertical="center" wrapText="1"/>
    </xf>
    <xf numFmtId="37" fontId="10" fillId="0" borderId="77" xfId="1" applyNumberFormat="1" applyFont="1" applyFill="1" applyBorder="1" applyAlignment="1">
      <alignment horizontal="center" vertical="center" wrapText="1"/>
    </xf>
    <xf numFmtId="37" fontId="10" fillId="0" borderId="81" xfId="1" applyNumberFormat="1" applyFont="1" applyFill="1" applyBorder="1" applyAlignment="1">
      <alignment horizontal="center" vertical="center" wrapText="1"/>
    </xf>
    <xf numFmtId="0" fontId="10" fillId="68" borderId="133" xfId="0" applyFont="1" applyFill="1" applyBorder="1" applyAlignment="1">
      <alignment horizontal="center" vertical="center" wrapText="1"/>
    </xf>
    <xf numFmtId="0" fontId="10" fillId="0" borderId="90" xfId="0" applyFont="1" applyFill="1" applyBorder="1" applyAlignment="1">
      <alignment horizontal="center" wrapText="1"/>
    </xf>
    <xf numFmtId="37" fontId="10" fillId="42" borderId="91" xfId="1" applyNumberFormat="1" applyFont="1" applyFill="1" applyBorder="1" applyAlignment="1">
      <alignment horizontal="center" wrapText="1"/>
    </xf>
    <xf numFmtId="37" fontId="10" fillId="0" borderId="91" xfId="1" applyNumberFormat="1" applyFont="1" applyFill="1" applyBorder="1" applyAlignment="1">
      <alignment horizontal="center" wrapText="1"/>
    </xf>
    <xf numFmtId="37" fontId="10" fillId="0" borderId="92" xfId="1" applyNumberFormat="1" applyFont="1" applyFill="1" applyBorder="1" applyAlignment="1">
      <alignment horizontal="center" wrapText="1"/>
    </xf>
    <xf numFmtId="0" fontId="10" fillId="0" borderId="93" xfId="0" applyFont="1" applyFill="1" applyBorder="1" applyAlignment="1">
      <alignment horizontal="center" wrapText="1"/>
    </xf>
    <xf numFmtId="37" fontId="10" fillId="42" borderId="80" xfId="1" applyNumberFormat="1" applyFont="1" applyFill="1" applyBorder="1" applyAlignment="1">
      <alignment horizontal="center" wrapText="1"/>
    </xf>
    <xf numFmtId="37" fontId="10" fillId="0" borderId="80" xfId="1" applyNumberFormat="1" applyFont="1" applyFill="1" applyBorder="1" applyAlignment="1">
      <alignment horizontal="center" wrapText="1"/>
    </xf>
    <xf numFmtId="37" fontId="10" fillId="0" borderId="81" xfId="1" applyNumberFormat="1" applyFont="1" applyFill="1" applyBorder="1" applyAlignment="1">
      <alignment horizontal="center" wrapText="1"/>
    </xf>
    <xf numFmtId="166" fontId="10" fillId="0" borderId="131" xfId="0" applyNumberFormat="1" applyFont="1" applyFill="1" applyBorder="1" applyAlignment="1">
      <alignment horizontal="center" vertical="center"/>
    </xf>
    <xf numFmtId="166" fontId="10" fillId="0" borderId="58" xfId="0" applyNumberFormat="1" applyFont="1" applyFill="1" applyBorder="1" applyAlignment="1">
      <alignment horizontal="center" vertical="center"/>
    </xf>
    <xf numFmtId="166" fontId="10" fillId="42" borderId="131" xfId="0" applyNumberFormat="1" applyFont="1" applyFill="1" applyBorder="1" applyAlignment="1">
      <alignment horizontal="center" vertical="center"/>
    </xf>
    <xf numFmtId="166" fontId="10" fillId="42" borderId="58" xfId="0" applyNumberFormat="1" applyFont="1" applyFill="1" applyBorder="1" applyAlignment="1">
      <alignment horizontal="center" vertical="center"/>
    </xf>
    <xf numFmtId="9" fontId="10" fillId="42" borderId="58" xfId="0" applyNumberFormat="1" applyFont="1" applyFill="1" applyBorder="1" applyAlignment="1">
      <alignment horizontal="center" vertical="center" wrapText="1"/>
    </xf>
    <xf numFmtId="9" fontId="10" fillId="42" borderId="59" xfId="0" applyNumberFormat="1" applyFont="1" applyFill="1" applyBorder="1" applyAlignment="1">
      <alignment horizontal="center" vertical="center" wrapText="1"/>
    </xf>
    <xf numFmtId="166" fontId="11" fillId="42" borderId="131" xfId="0" applyNumberFormat="1" applyFont="1" applyFill="1" applyBorder="1" applyAlignment="1">
      <alignment horizontal="center" vertical="center"/>
    </xf>
    <xf numFmtId="166" fontId="10" fillId="0" borderId="91" xfId="0" applyNumberFormat="1" applyFont="1" applyFill="1" applyBorder="1" applyAlignment="1">
      <alignment horizontal="center" vertical="center"/>
    </xf>
    <xf numFmtId="10" fontId="10" fillId="0" borderId="92" xfId="3" applyNumberFormat="1" applyFont="1" applyFill="1" applyBorder="1" applyAlignment="1">
      <alignment horizontal="center" vertical="center"/>
    </xf>
    <xf numFmtId="10" fontId="10" fillId="0" borderId="79" xfId="3" applyNumberFormat="1" applyFont="1" applyFill="1" applyBorder="1" applyAlignment="1">
      <alignment horizontal="center" vertical="center"/>
    </xf>
    <xf numFmtId="0" fontId="10" fillId="4" borderId="105" xfId="0" applyFont="1" applyFill="1" applyBorder="1" applyAlignment="1">
      <alignment horizontal="center" vertical="center"/>
    </xf>
    <xf numFmtId="166" fontId="10" fillId="0" borderId="105" xfId="0" applyNumberFormat="1" applyFont="1" applyFill="1" applyBorder="1" applyAlignment="1">
      <alignment horizontal="center" vertical="center"/>
    </xf>
    <xf numFmtId="10" fontId="10" fillId="0" borderId="107" xfId="3" applyNumberFormat="1" applyFont="1" applyFill="1" applyBorder="1" applyAlignment="1">
      <alignment horizontal="center" vertical="center"/>
    </xf>
    <xf numFmtId="0" fontId="10" fillId="68" borderId="91" xfId="0" applyFont="1" applyFill="1" applyBorder="1" applyAlignment="1">
      <alignment horizontal="center" vertical="center"/>
    </xf>
    <xf numFmtId="0" fontId="10" fillId="68" borderId="78" xfId="0" applyFont="1" applyFill="1" applyBorder="1" applyAlignment="1">
      <alignment horizontal="center" vertical="center"/>
    </xf>
    <xf numFmtId="0" fontId="10" fillId="68" borderId="105" xfId="0" applyFont="1" applyFill="1" applyBorder="1" applyAlignment="1">
      <alignment horizontal="center" vertical="center"/>
    </xf>
    <xf numFmtId="170" fontId="13" fillId="68" borderId="58" xfId="0" applyNumberFormat="1" applyFont="1" applyFill="1" applyBorder="1" applyAlignment="1">
      <alignment horizontal="center" vertical="center"/>
    </xf>
    <xf numFmtId="181" fontId="10" fillId="0" borderId="57" xfId="0" applyNumberFormat="1" applyFont="1" applyFill="1" applyBorder="1" applyAlignment="1">
      <alignment horizontal="center" vertical="center"/>
    </xf>
    <xf numFmtId="0" fontId="69" fillId="61" borderId="7" xfId="0" applyFont="1" applyFill="1" applyBorder="1" applyAlignment="1">
      <alignment horizontal="center" vertical="center" wrapText="1"/>
    </xf>
    <xf numFmtId="0" fontId="69" fillId="61" borderId="11" xfId="0" applyFont="1" applyFill="1" applyBorder="1" applyAlignment="1">
      <alignment horizontal="center" vertical="center" wrapText="1"/>
    </xf>
    <xf numFmtId="0" fontId="69" fillId="61" borderId="9" xfId="0" applyFont="1" applyFill="1" applyBorder="1" applyAlignment="1">
      <alignment horizontal="center" vertical="center" wrapText="1"/>
    </xf>
    <xf numFmtId="3" fontId="0" fillId="36" borderId="5" xfId="0" applyNumberFormat="1" applyFill="1" applyBorder="1" applyAlignment="1">
      <alignment horizontal="center" vertical="center"/>
    </xf>
    <xf numFmtId="0" fontId="69" fillId="61" borderId="11" xfId="0" applyFont="1" applyFill="1" applyBorder="1" applyAlignment="1">
      <alignment horizontal="center" vertical="center" wrapText="1"/>
    </xf>
    <xf numFmtId="174" fontId="28" fillId="0" borderId="133" xfId="0" applyNumberFormat="1" applyFont="1" applyFill="1" applyBorder="1" applyAlignment="1">
      <alignment horizontal="center" vertical="center" wrapText="1"/>
    </xf>
    <xf numFmtId="165" fontId="28" fillId="0" borderId="133" xfId="0" applyNumberFormat="1" applyFont="1" applyFill="1" applyBorder="1" applyAlignment="1">
      <alignment horizontal="center" vertical="center" wrapText="1"/>
    </xf>
    <xf numFmtId="192" fontId="28" fillId="0" borderId="133" xfId="0" applyNumberFormat="1" applyFont="1" applyFill="1" applyBorder="1" applyAlignment="1">
      <alignment horizontal="center" vertical="center" wrapText="1"/>
    </xf>
    <xf numFmtId="174" fontId="28" fillId="42" borderId="133" xfId="0" applyNumberFormat="1" applyFont="1" applyFill="1" applyBorder="1" applyAlignment="1">
      <alignment horizontal="center" vertical="center" wrapText="1"/>
    </xf>
    <xf numFmtId="165" fontId="45" fillId="0" borderId="132" xfId="0" applyNumberFormat="1" applyFont="1" applyFill="1" applyBorder="1" applyAlignment="1">
      <alignment horizontal="right" vertical="center" wrapText="1"/>
    </xf>
    <xf numFmtId="165" fontId="45" fillId="0" borderId="12" xfId="0" applyNumberFormat="1" applyFont="1" applyFill="1" applyBorder="1" applyAlignment="1">
      <alignment horizontal="right" vertical="center" wrapText="1"/>
    </xf>
    <xf numFmtId="164" fontId="18" fillId="4" borderId="5" xfId="2" applyNumberFormat="1" applyFill="1" applyBorder="1" applyAlignment="1" applyProtection="1">
      <alignment horizontal="center" vertical="center" wrapText="1"/>
    </xf>
    <xf numFmtId="4" fontId="10" fillId="0" borderId="57" xfId="0" applyNumberFormat="1" applyFont="1" applyFill="1" applyBorder="1" applyAlignment="1">
      <alignment horizontal="center" vertical="center"/>
    </xf>
    <xf numFmtId="170" fontId="10" fillId="0" borderId="12" xfId="0" applyNumberFormat="1" applyFont="1" applyFill="1" applyBorder="1" applyAlignment="1">
      <alignment horizontal="center" vertical="center"/>
    </xf>
    <xf numFmtId="164" fontId="75" fillId="4" borderId="26" xfId="2" applyNumberFormat="1" applyFont="1" applyFill="1" applyBorder="1" applyAlignment="1" applyProtection="1">
      <alignment horizontal="center" vertical="center" wrapText="1"/>
    </xf>
    <xf numFmtId="4" fontId="19" fillId="0" borderId="59" xfId="0" applyNumberFormat="1" applyFont="1" applyFill="1" applyBorder="1" applyAlignment="1">
      <alignment horizontal="center" vertical="center" wrapText="1"/>
    </xf>
    <xf numFmtId="2" fontId="13" fillId="4" borderId="133" xfId="0" applyNumberFormat="1" applyFont="1" applyFill="1" applyBorder="1" applyAlignment="1">
      <alignment horizontal="center" vertical="center"/>
    </xf>
    <xf numFmtId="2" fontId="13" fillId="4" borderId="59" xfId="0" applyNumberFormat="1" applyFont="1" applyFill="1" applyBorder="1" applyAlignment="1">
      <alignment horizontal="center" vertical="center"/>
    </xf>
    <xf numFmtId="168" fontId="10" fillId="0" borderId="80" xfId="0" applyNumberFormat="1" applyFont="1" applyFill="1" applyBorder="1" applyAlignment="1">
      <alignment horizontal="center" vertical="center" wrapText="1"/>
    </xf>
    <xf numFmtId="3" fontId="10" fillId="4" borderId="79" xfId="0" applyNumberFormat="1" applyFont="1" applyFill="1" applyBorder="1" applyAlignment="1">
      <alignment horizontal="center" vertical="center" wrapText="1"/>
    </xf>
    <xf numFmtId="0" fontId="18" fillId="4" borderId="5" xfId="2" applyFill="1" applyBorder="1" applyAlignment="1" applyProtection="1">
      <alignment horizontal="center" vertical="top" wrapText="1"/>
    </xf>
    <xf numFmtId="2" fontId="12" fillId="0" borderId="78" xfId="0" applyNumberFormat="1" applyFont="1" applyFill="1" applyBorder="1" applyAlignment="1">
      <alignment horizontal="center" vertical="center"/>
    </xf>
    <xf numFmtId="169" fontId="12" fillId="0" borderId="78" xfId="0" applyNumberFormat="1" applyFont="1" applyFill="1" applyBorder="1" applyAlignment="1">
      <alignment horizontal="center" vertical="center"/>
    </xf>
    <xf numFmtId="167" fontId="12" fillId="0" borderId="78" xfId="0" applyNumberFormat="1" applyFont="1" applyFill="1" applyBorder="1" applyAlignment="1">
      <alignment horizontal="center" vertical="center"/>
    </xf>
    <xf numFmtId="180" fontId="12" fillId="0" borderId="27" xfId="0" applyNumberFormat="1" applyFont="1" applyFill="1" applyBorder="1" applyAlignment="1">
      <alignment horizontal="center" vertical="center"/>
    </xf>
    <xf numFmtId="169" fontId="12" fillId="0" borderId="55" xfId="0" applyNumberFormat="1" applyFont="1" applyFill="1" applyBorder="1" applyAlignment="1">
      <alignment horizontal="center" vertical="center"/>
    </xf>
    <xf numFmtId="169" fontId="12" fillId="0" borderId="58" xfId="0" applyNumberFormat="1" applyFont="1" applyFill="1" applyBorder="1" applyAlignment="1">
      <alignment horizontal="center" vertical="center"/>
    </xf>
    <xf numFmtId="0" fontId="28" fillId="42" borderId="91" xfId="110" applyFont="1" applyFill="1" applyBorder="1" applyAlignment="1">
      <alignment horizontal="center" vertical="center" wrapText="1"/>
    </xf>
    <xf numFmtId="0" fontId="28" fillId="42" borderId="78" xfId="110" applyFont="1" applyFill="1" applyBorder="1" applyAlignment="1">
      <alignment horizontal="center" vertical="center" wrapText="1"/>
    </xf>
    <xf numFmtId="0" fontId="28" fillId="42" borderId="80" xfId="110" applyFont="1" applyFill="1" applyBorder="1" applyAlignment="1">
      <alignment horizontal="center" vertical="center" wrapText="1"/>
    </xf>
    <xf numFmtId="166" fontId="28" fillId="42" borderId="91" xfId="110" applyNumberFormat="1" applyFont="1" applyFill="1" applyBorder="1" applyAlignment="1">
      <alignment horizontal="center" vertical="center" wrapText="1"/>
    </xf>
    <xf numFmtId="166" fontId="28" fillId="42" borderId="78" xfId="0" applyNumberFormat="1" applyFont="1" applyFill="1" applyBorder="1" applyAlignment="1">
      <alignment horizontal="center" vertical="center"/>
    </xf>
    <xf numFmtId="9" fontId="28" fillId="42" borderId="80" xfId="0" applyNumberFormat="1" applyFont="1" applyFill="1" applyBorder="1" applyAlignment="1">
      <alignment horizontal="center" vertical="center"/>
    </xf>
    <xf numFmtId="0" fontId="69" fillId="61" borderId="128" xfId="110" applyFont="1" applyFill="1" applyBorder="1" applyAlignment="1">
      <alignment horizontal="center" vertical="center" wrapText="1"/>
    </xf>
    <xf numFmtId="183" fontId="28" fillId="0" borderId="141" xfId="110" applyNumberFormat="1" applyFont="1" applyFill="1" applyBorder="1" applyAlignment="1">
      <alignment horizontal="center" vertical="center" wrapText="1"/>
    </xf>
    <xf numFmtId="183" fontId="28" fillId="0" borderId="140" xfId="110" applyNumberFormat="1" applyFont="1" applyFill="1" applyBorder="1" applyAlignment="1">
      <alignment horizontal="center" vertical="center" wrapText="1"/>
    </xf>
    <xf numFmtId="183" fontId="28" fillId="0" borderId="151" xfId="110" applyNumberFormat="1" applyFont="1" applyFill="1" applyBorder="1" applyAlignment="1">
      <alignment horizontal="center" vertical="center" wrapText="1"/>
    </xf>
    <xf numFmtId="9" fontId="28" fillId="42" borderId="111" xfId="110" applyNumberFormat="1" applyFont="1" applyFill="1" applyBorder="1" applyAlignment="1">
      <alignment horizontal="center" vertical="center" wrapText="1"/>
    </xf>
    <xf numFmtId="9" fontId="28" fillId="42" borderId="92" xfId="110" applyNumberFormat="1" applyFont="1" applyFill="1" applyBorder="1" applyAlignment="1">
      <alignment horizontal="center" vertical="center" wrapText="1"/>
    </xf>
    <xf numFmtId="9" fontId="28" fillId="42" borderId="112" xfId="110" applyNumberFormat="1" applyFont="1" applyFill="1" applyBorder="1" applyAlignment="1">
      <alignment horizontal="center" vertical="center" wrapText="1"/>
    </xf>
    <xf numFmtId="9" fontId="28" fillId="42" borderId="79" xfId="110" applyNumberFormat="1" applyFont="1" applyFill="1" applyBorder="1" applyAlignment="1">
      <alignment horizontal="center" vertical="center" wrapText="1"/>
    </xf>
    <xf numFmtId="9" fontId="28" fillId="42" borderId="125" xfId="110" applyNumberFormat="1" applyFont="1" applyFill="1" applyBorder="1" applyAlignment="1">
      <alignment horizontal="center" vertical="center" wrapText="1"/>
    </xf>
    <xf numFmtId="9" fontId="28" fillId="42" borderId="81" xfId="110" applyNumberFormat="1" applyFont="1" applyFill="1" applyBorder="1" applyAlignment="1">
      <alignment horizontal="center" vertical="center" wrapText="1"/>
    </xf>
    <xf numFmtId="166" fontId="28" fillId="42" borderId="58" xfId="0" applyNumberFormat="1" applyFont="1" applyFill="1" applyBorder="1" applyAlignment="1">
      <alignment horizontal="center" vertical="center"/>
    </xf>
    <xf numFmtId="0" fontId="27" fillId="0" borderId="0" xfId="10" applyFont="1" applyFill="1"/>
    <xf numFmtId="169" fontId="28" fillId="0" borderId="140" xfId="110" applyNumberFormat="1" applyFont="1" applyFill="1" applyBorder="1" applyAlignment="1">
      <alignment horizontal="center" vertical="center"/>
    </xf>
    <xf numFmtId="0" fontId="28" fillId="68" borderId="140" xfId="110" applyFont="1" applyFill="1" applyBorder="1" applyAlignment="1">
      <alignment horizontal="center" vertical="center"/>
    </xf>
    <xf numFmtId="0" fontId="28" fillId="68" borderId="142" xfId="110" applyFont="1" applyFill="1" applyBorder="1" applyAlignment="1">
      <alignment horizontal="center" vertical="center"/>
    </xf>
    <xf numFmtId="171" fontId="10" fillId="0" borderId="131" xfId="0" applyNumberFormat="1" applyFont="1" applyFill="1" applyBorder="1" applyAlignment="1">
      <alignment horizontal="center" vertical="center"/>
    </xf>
    <xf numFmtId="170" fontId="10" fillId="0" borderId="131" xfId="0" applyNumberFormat="1" applyFont="1" applyFill="1" applyBorder="1" applyAlignment="1">
      <alignment horizontal="center" vertical="center"/>
    </xf>
    <xf numFmtId="0" fontId="49" fillId="68" borderId="131" xfId="0" applyFont="1" applyFill="1" applyBorder="1" applyAlignment="1">
      <alignment horizontal="center" vertical="center" wrapText="1"/>
    </xf>
    <xf numFmtId="0" fontId="50" fillId="68" borderId="131" xfId="0" applyFont="1" applyFill="1" applyBorder="1" applyAlignment="1">
      <alignment horizontal="center" vertical="center" wrapText="1"/>
    </xf>
    <xf numFmtId="0" fontId="49" fillId="68" borderId="133" xfId="0" applyFont="1" applyFill="1" applyBorder="1" applyAlignment="1">
      <alignment horizontal="center" vertical="center"/>
    </xf>
    <xf numFmtId="0" fontId="50" fillId="68" borderId="133" xfId="0" applyFont="1" applyFill="1" applyBorder="1" applyAlignment="1">
      <alignment horizontal="center" vertical="center"/>
    </xf>
    <xf numFmtId="0" fontId="50" fillId="68" borderId="81" xfId="0" applyFont="1" applyFill="1" applyBorder="1" applyAlignment="1">
      <alignment horizontal="center" vertical="center"/>
    </xf>
    <xf numFmtId="0" fontId="51" fillId="61" borderId="132" xfId="0" applyFont="1" applyFill="1" applyBorder="1" applyAlignment="1">
      <alignment horizontal="right" wrapText="1"/>
    </xf>
    <xf numFmtId="165" fontId="51" fillId="61" borderId="132" xfId="0" applyNumberFormat="1" applyFont="1" applyFill="1" applyBorder="1" applyAlignment="1">
      <alignment horizontal="right" wrapText="1"/>
    </xf>
    <xf numFmtId="0" fontId="51" fillId="61" borderId="56" xfId="0" applyFont="1" applyFill="1" applyBorder="1" applyAlignment="1">
      <alignment horizontal="right" vertical="center" wrapText="1"/>
    </xf>
    <xf numFmtId="165" fontId="51" fillId="61" borderId="56" xfId="0" applyNumberFormat="1" applyFont="1" applyFill="1" applyBorder="1" applyAlignment="1">
      <alignment horizontal="right" vertical="center" wrapText="1"/>
    </xf>
    <xf numFmtId="0" fontId="28" fillId="0" borderId="12" xfId="0" applyFont="1" applyFill="1" applyBorder="1" applyAlignment="1">
      <alignment horizontal="center" vertical="center" wrapText="1"/>
    </xf>
    <xf numFmtId="3" fontId="28" fillId="42" borderId="58" xfId="0" applyNumberFormat="1" applyFont="1" applyFill="1" applyBorder="1" applyAlignment="1">
      <alignment horizontal="center" vertical="center"/>
    </xf>
    <xf numFmtId="0" fontId="28" fillId="0" borderId="10" xfId="0" applyFont="1" applyFill="1" applyBorder="1" applyAlignment="1">
      <alignment horizontal="center" vertical="center"/>
    </xf>
    <xf numFmtId="3" fontId="28" fillId="42" borderId="18" xfId="0" applyNumberFormat="1" applyFont="1" applyFill="1" applyBorder="1" applyAlignment="1">
      <alignment horizontal="center" vertical="center"/>
    </xf>
    <xf numFmtId="166" fontId="28" fillId="0" borderId="11" xfId="0" applyNumberFormat="1" applyFont="1" applyFill="1" applyBorder="1" applyAlignment="1">
      <alignment horizontal="center" vertical="center"/>
    </xf>
    <xf numFmtId="3" fontId="28" fillId="0" borderId="131" xfId="0" applyNumberFormat="1" applyFont="1" applyFill="1" applyBorder="1" applyAlignment="1">
      <alignment horizontal="center" vertical="center"/>
    </xf>
    <xf numFmtId="3" fontId="28" fillId="42" borderId="131" xfId="0" applyNumberFormat="1" applyFont="1" applyFill="1" applyBorder="1" applyAlignment="1">
      <alignment horizontal="center" vertical="center"/>
    </xf>
    <xf numFmtId="166" fontId="28" fillId="0" borderId="133" xfId="0" applyNumberFormat="1" applyFont="1" applyFill="1" applyBorder="1" applyAlignment="1">
      <alignment horizontal="center" vertical="center"/>
    </xf>
    <xf numFmtId="4" fontId="28" fillId="0" borderId="131" xfId="0" applyNumberFormat="1" applyFont="1" applyFill="1" applyBorder="1" applyAlignment="1">
      <alignment horizontal="center" vertical="center"/>
    </xf>
    <xf numFmtId="171" fontId="28" fillId="0" borderId="133" xfId="0" applyNumberFormat="1" applyFont="1" applyFill="1" applyBorder="1" applyAlignment="1">
      <alignment horizontal="center" vertical="center"/>
    </xf>
    <xf numFmtId="0" fontId="10" fillId="0" borderId="90" xfId="0" applyFont="1" applyFill="1" applyBorder="1" applyAlignment="1">
      <alignment horizontal="center"/>
    </xf>
    <xf numFmtId="0" fontId="69" fillId="61" borderId="10" xfId="0" applyFont="1" applyFill="1" applyBorder="1" applyAlignment="1">
      <alignment horizontal="center" vertical="center" wrapText="1"/>
    </xf>
    <xf numFmtId="0" fontId="69" fillId="61" borderId="18" xfId="0" applyFont="1" applyFill="1" applyBorder="1" applyAlignment="1">
      <alignment horizontal="center" vertical="center" wrapText="1"/>
    </xf>
    <xf numFmtId="0" fontId="69" fillId="61" borderId="11" xfId="0" applyFont="1" applyFill="1" applyBorder="1" applyAlignment="1">
      <alignment horizontal="center" vertical="center" wrapText="1"/>
    </xf>
    <xf numFmtId="0" fontId="28" fillId="0" borderId="90" xfId="0" applyFont="1" applyBorder="1" applyAlignment="1">
      <alignment horizontal="center" vertical="center"/>
    </xf>
    <xf numFmtId="0" fontId="28" fillId="0" borderId="95" xfId="0" applyFont="1" applyBorder="1" applyAlignment="1">
      <alignment horizontal="center" vertical="center"/>
    </xf>
    <xf numFmtId="0" fontId="28" fillId="0" borderId="104" xfId="0" applyFont="1" applyBorder="1" applyAlignment="1">
      <alignment horizontal="center" vertical="center"/>
    </xf>
    <xf numFmtId="2" fontId="0" fillId="0" borderId="55" xfId="0" applyNumberFormat="1" applyFill="1" applyBorder="1" applyAlignment="1">
      <alignment horizontal="center" vertical="center"/>
    </xf>
    <xf numFmtId="166" fontId="0" fillId="4" borderId="0" xfId="0" applyNumberFormat="1" applyFill="1"/>
    <xf numFmtId="3" fontId="45" fillId="59" borderId="91" xfId="0" applyNumberFormat="1" applyFont="1" applyFill="1" applyBorder="1" applyAlignment="1">
      <alignment horizontal="center" vertical="center"/>
    </xf>
    <xf numFmtId="166" fontId="45" fillId="59" borderId="91" xfId="3" applyNumberFormat="1" applyFont="1" applyFill="1" applyBorder="1" applyAlignment="1">
      <alignment horizontal="center" vertical="center"/>
    </xf>
    <xf numFmtId="3" fontId="45" fillId="59" borderId="91" xfId="3" applyNumberFormat="1" applyFont="1" applyFill="1" applyBorder="1" applyAlignment="1">
      <alignment horizontal="center" vertical="center"/>
    </xf>
    <xf numFmtId="3" fontId="28" fillId="4" borderId="58" xfId="0" applyNumberFormat="1" applyFont="1" applyFill="1" applyBorder="1" applyAlignment="1">
      <alignment horizontal="center" vertical="center"/>
    </xf>
    <xf numFmtId="4" fontId="45" fillId="0" borderId="28" xfId="0" applyNumberFormat="1" applyFont="1" applyBorder="1"/>
    <xf numFmtId="3" fontId="45" fillId="42" borderId="27" xfId="0" applyNumberFormat="1" applyFont="1" applyFill="1" applyBorder="1" applyAlignment="1">
      <alignment horizontal="center" vertical="center"/>
    </xf>
    <xf numFmtId="3" fontId="45" fillId="59" borderId="27" xfId="0" applyNumberFormat="1" applyFont="1" applyFill="1" applyBorder="1" applyAlignment="1">
      <alignment horizontal="center" vertical="center"/>
    </xf>
    <xf numFmtId="166" fontId="45" fillId="59" borderId="27" xfId="3" applyNumberFormat="1" applyFont="1" applyFill="1" applyBorder="1" applyAlignment="1">
      <alignment horizontal="center" vertical="center"/>
    </xf>
    <xf numFmtId="3" fontId="45" fillId="0" borderId="27" xfId="3" applyNumberFormat="1" applyFont="1" applyFill="1" applyBorder="1" applyAlignment="1">
      <alignment horizontal="center" vertical="center"/>
    </xf>
    <xf numFmtId="170" fontId="45" fillId="59" borderId="137" xfId="0" applyNumberFormat="1" applyFont="1" applyFill="1" applyBorder="1" applyAlignment="1">
      <alignment horizontal="center" vertical="center"/>
    </xf>
    <xf numFmtId="4" fontId="45" fillId="0" borderId="137" xfId="0" applyNumberFormat="1" applyFont="1" applyFill="1" applyBorder="1" applyAlignment="1">
      <alignment horizontal="center" vertical="center"/>
    </xf>
    <xf numFmtId="4" fontId="45" fillId="59" borderId="137" xfId="0" applyNumberFormat="1" applyFont="1" applyFill="1" applyBorder="1" applyAlignment="1">
      <alignment horizontal="center" vertical="center"/>
    </xf>
    <xf numFmtId="4" fontId="45" fillId="59" borderId="27" xfId="0" applyNumberFormat="1" applyFont="1" applyFill="1" applyBorder="1" applyAlignment="1">
      <alignment horizontal="center" vertical="center"/>
    </xf>
    <xf numFmtId="4" fontId="45" fillId="59" borderId="45" xfId="0" applyNumberFormat="1" applyFont="1" applyFill="1" applyBorder="1" applyAlignment="1">
      <alignment horizontal="center" vertical="center"/>
    </xf>
    <xf numFmtId="3" fontId="45" fillId="59" borderId="137" xfId="0" applyNumberFormat="1" applyFont="1" applyFill="1" applyBorder="1" applyAlignment="1">
      <alignment horizontal="center" vertical="center"/>
    </xf>
    <xf numFmtId="3" fontId="45" fillId="0" borderId="137" xfId="0" applyNumberFormat="1" applyFont="1" applyFill="1" applyBorder="1" applyAlignment="1">
      <alignment horizontal="center" vertical="center"/>
    </xf>
    <xf numFmtId="0" fontId="0" fillId="59" borderId="154" xfId="0" applyFill="1" applyBorder="1"/>
    <xf numFmtId="4" fontId="45" fillId="0" borderId="132" xfId="0" applyNumberFormat="1" applyFont="1" applyBorder="1"/>
    <xf numFmtId="3" fontId="45" fillId="0" borderId="131" xfId="0" applyNumberFormat="1" applyFont="1" applyFill="1" applyBorder="1" applyAlignment="1">
      <alignment horizontal="center" vertical="center"/>
    </xf>
    <xf numFmtId="3" fontId="45" fillId="59" borderId="131" xfId="0" applyNumberFormat="1" applyFont="1" applyFill="1" applyBorder="1" applyAlignment="1">
      <alignment horizontal="center" vertical="center"/>
    </xf>
    <xf numFmtId="166" fontId="45" fillId="59" borderId="131" xfId="3" applyNumberFormat="1" applyFont="1" applyFill="1" applyBorder="1" applyAlignment="1">
      <alignment horizontal="center" vertical="center"/>
    </xf>
    <xf numFmtId="3" fontId="45" fillId="59" borderId="131" xfId="3" applyNumberFormat="1" applyFont="1" applyFill="1" applyBorder="1" applyAlignment="1">
      <alignment horizontal="center" vertical="center"/>
    </xf>
    <xf numFmtId="170" fontId="45" fillId="59" borderId="131" xfId="0" applyNumberFormat="1" applyFont="1" applyFill="1" applyBorder="1" applyAlignment="1">
      <alignment horizontal="center" vertical="center"/>
    </xf>
    <xf numFmtId="0" fontId="28" fillId="0" borderId="94" xfId="0" applyFont="1" applyFill="1" applyBorder="1" applyAlignment="1">
      <alignment horizontal="center" vertical="center"/>
    </xf>
    <xf numFmtId="3" fontId="28" fillId="42" borderId="153" xfId="0" applyNumberFormat="1" applyFont="1" applyFill="1" applyBorder="1" applyAlignment="1">
      <alignment horizontal="center" vertical="center"/>
    </xf>
    <xf numFmtId="166" fontId="28" fillId="0" borderId="77" xfId="0" applyNumberFormat="1" applyFont="1" applyFill="1" applyBorder="1" applyAlignment="1">
      <alignment horizontal="center" vertical="center"/>
    </xf>
    <xf numFmtId="0" fontId="28" fillId="59" borderId="94" xfId="0" applyFont="1" applyFill="1" applyBorder="1" applyAlignment="1">
      <alignment horizontal="center" vertical="center"/>
    </xf>
    <xf numFmtId="0" fontId="28" fillId="59" borderId="76" xfId="0" applyFont="1" applyFill="1" applyBorder="1" applyAlignment="1">
      <alignment horizontal="center" vertical="center"/>
    </xf>
    <xf numFmtId="0" fontId="28" fillId="59" borderId="77" xfId="0" applyFont="1" applyFill="1" applyBorder="1" applyAlignment="1">
      <alignment horizontal="center" vertical="center"/>
    </xf>
    <xf numFmtId="3" fontId="28" fillId="0" borderId="76" xfId="0" applyNumberFormat="1" applyFont="1" applyFill="1" applyBorder="1" applyAlignment="1">
      <alignment horizontal="center" vertical="center"/>
    </xf>
    <xf numFmtId="181" fontId="10" fillId="0" borderId="76" xfId="0" applyNumberFormat="1" applyFont="1" applyFill="1" applyBorder="1" applyAlignment="1">
      <alignment horizontal="center" vertical="center"/>
    </xf>
    <xf numFmtId="170" fontId="10" fillId="0" borderId="76" xfId="0" applyNumberFormat="1" applyFont="1" applyFill="1" applyBorder="1" applyAlignment="1">
      <alignment horizontal="center" vertical="center"/>
    </xf>
    <xf numFmtId="182" fontId="10" fillId="0" borderId="77" xfId="0" applyNumberFormat="1" applyFont="1" applyFill="1" applyBorder="1" applyAlignment="1">
      <alignment horizontal="center" vertical="center"/>
    </xf>
    <xf numFmtId="3" fontId="28" fillId="42" borderId="140" xfId="0" applyNumberFormat="1" applyFont="1" applyFill="1" applyBorder="1" applyAlignment="1">
      <alignment horizontal="center" vertical="center"/>
    </xf>
    <xf numFmtId="166" fontId="28" fillId="0" borderId="79" xfId="0" applyNumberFormat="1" applyFont="1" applyFill="1" applyBorder="1" applyAlignment="1">
      <alignment horizontal="center" vertical="center"/>
    </xf>
    <xf numFmtId="2" fontId="28" fillId="59" borderId="95" xfId="0" applyNumberFormat="1" applyFont="1" applyFill="1" applyBorder="1" applyAlignment="1">
      <alignment horizontal="center" vertical="center"/>
    </xf>
    <xf numFmtId="2" fontId="28" fillId="59" borderId="78" xfId="0" applyNumberFormat="1" applyFont="1" applyFill="1" applyBorder="1" applyAlignment="1">
      <alignment horizontal="center" vertical="center"/>
    </xf>
    <xf numFmtId="2" fontId="28" fillId="59" borderId="103" xfId="0" applyNumberFormat="1" applyFont="1" applyFill="1" applyBorder="1" applyAlignment="1">
      <alignment horizontal="center" vertical="center"/>
    </xf>
    <xf numFmtId="2" fontId="28" fillId="59" borderId="79" xfId="0" applyNumberFormat="1" applyFont="1" applyFill="1" applyBorder="1" applyAlignment="1">
      <alignment horizontal="center" vertical="center"/>
    </xf>
    <xf numFmtId="0" fontId="28" fillId="59" borderId="95" xfId="0" applyFont="1" applyFill="1" applyBorder="1" applyAlignment="1">
      <alignment horizontal="center" vertical="center"/>
    </xf>
    <xf numFmtId="0" fontId="28" fillId="59" borderId="78" xfId="0" applyFont="1" applyFill="1" applyBorder="1" applyAlignment="1">
      <alignment horizontal="center" vertical="center"/>
    </xf>
    <xf numFmtId="0" fontId="28" fillId="59" borderId="79" xfId="0" applyFont="1" applyFill="1" applyBorder="1" applyAlignment="1">
      <alignment horizontal="center" vertical="center"/>
    </xf>
    <xf numFmtId="181" fontId="10" fillId="0" borderId="78" xfId="0" applyNumberFormat="1" applyFont="1" applyFill="1" applyBorder="1" applyAlignment="1">
      <alignment horizontal="center" vertical="center"/>
    </xf>
    <xf numFmtId="182" fontId="10" fillId="0" borderId="79" xfId="0" applyNumberFormat="1" applyFont="1" applyFill="1" applyBorder="1" applyAlignment="1">
      <alignment horizontal="center" vertical="center"/>
    </xf>
    <xf numFmtId="0" fontId="28" fillId="0" borderId="104" xfId="0" applyFont="1" applyFill="1" applyBorder="1" applyAlignment="1">
      <alignment horizontal="center" vertical="center"/>
    </xf>
    <xf numFmtId="3" fontId="28" fillId="42" borderId="142" xfId="0" applyNumberFormat="1" applyFont="1" applyFill="1" applyBorder="1" applyAlignment="1">
      <alignment horizontal="center" vertical="center"/>
    </xf>
    <xf numFmtId="166" fontId="28" fillId="0" borderId="107" xfId="0" applyNumberFormat="1" applyFont="1" applyFill="1" applyBorder="1" applyAlignment="1">
      <alignment horizontal="center" vertical="center"/>
    </xf>
    <xf numFmtId="3" fontId="28" fillId="0" borderId="106" xfId="0" applyNumberFormat="1" applyFont="1" applyFill="1" applyBorder="1" applyAlignment="1">
      <alignment horizontal="center" vertical="center"/>
    </xf>
    <xf numFmtId="3" fontId="28" fillId="0" borderId="107" xfId="0" applyNumberFormat="1" applyFont="1" applyFill="1" applyBorder="1" applyAlignment="1">
      <alignment horizontal="center" vertical="center"/>
    </xf>
    <xf numFmtId="0" fontId="28" fillId="59" borderId="104" xfId="0" applyFont="1" applyFill="1" applyBorder="1" applyAlignment="1">
      <alignment horizontal="center" vertical="center"/>
    </xf>
    <xf numFmtId="0" fontId="28" fillId="59" borderId="105" xfId="0" applyFont="1" applyFill="1" applyBorder="1" applyAlignment="1">
      <alignment horizontal="center" vertical="center"/>
    </xf>
    <xf numFmtId="0" fontId="28" fillId="59" borderId="107" xfId="0" applyFont="1" applyFill="1" applyBorder="1" applyAlignment="1">
      <alignment horizontal="center" vertical="center"/>
    </xf>
    <xf numFmtId="2" fontId="28" fillId="0" borderId="78" xfId="0" applyNumberFormat="1" applyFont="1" applyFill="1" applyBorder="1" applyAlignment="1">
      <alignment horizontal="center" vertical="center"/>
    </xf>
    <xf numFmtId="3" fontId="28" fillId="0" borderId="103" xfId="0" applyNumberFormat="1" applyFont="1" applyFill="1" applyBorder="1" applyAlignment="1">
      <alignment horizontal="center" vertical="center"/>
    </xf>
    <xf numFmtId="4" fontId="28" fillId="0" borderId="106" xfId="0" applyNumberFormat="1" applyFont="1" applyFill="1" applyBorder="1" applyAlignment="1">
      <alignment horizontal="center" vertical="center"/>
    </xf>
    <xf numFmtId="4" fontId="28" fillId="0" borderId="103" xfId="0" applyNumberFormat="1" applyFont="1" applyFill="1" applyBorder="1" applyAlignment="1">
      <alignment horizontal="center" vertical="center"/>
    </xf>
    <xf numFmtId="4" fontId="28" fillId="0" borderId="107" xfId="0" applyNumberFormat="1" applyFont="1" applyFill="1" applyBorder="1" applyAlignment="1">
      <alignment horizontal="center" vertical="center"/>
    </xf>
    <xf numFmtId="3" fontId="88" fillId="42" borderId="95" xfId="0" applyNumberFormat="1" applyFont="1" applyFill="1" applyBorder="1" applyAlignment="1">
      <alignment horizontal="center" vertical="center"/>
    </xf>
    <xf numFmtId="0" fontId="88" fillId="0" borderId="112" xfId="0" applyFont="1" applyFill="1" applyBorder="1" applyAlignment="1">
      <alignment horizontal="center" vertical="center"/>
    </xf>
    <xf numFmtId="3" fontId="0" fillId="59" borderId="91" xfId="0" applyNumberFormat="1" applyFill="1" applyBorder="1" applyAlignment="1">
      <alignment horizontal="center" vertical="center"/>
    </xf>
    <xf numFmtId="0" fontId="91" fillId="61" borderId="132" xfId="0" applyFont="1" applyFill="1" applyBorder="1" applyAlignment="1">
      <alignment horizontal="center" vertical="center" wrapText="1"/>
    </xf>
    <xf numFmtId="0" fontId="91" fillId="61" borderId="131" xfId="0" applyFont="1" applyFill="1" applyBorder="1" applyAlignment="1">
      <alignment horizontal="center" vertical="center" wrapText="1"/>
    </xf>
    <xf numFmtId="0" fontId="91" fillId="61" borderId="133" xfId="0" applyFont="1" applyFill="1" applyBorder="1" applyAlignment="1">
      <alignment horizontal="center" vertical="center" wrapText="1"/>
    </xf>
    <xf numFmtId="0" fontId="91" fillId="61" borderId="134" xfId="0" applyFont="1" applyFill="1" applyBorder="1" applyAlignment="1">
      <alignment horizontal="center" vertical="center" wrapText="1"/>
    </xf>
    <xf numFmtId="0" fontId="91" fillId="61" borderId="73" xfId="0" applyFont="1" applyFill="1" applyBorder="1" applyAlignment="1">
      <alignment horizontal="center" vertical="center" wrapText="1"/>
    </xf>
    <xf numFmtId="0" fontId="91" fillId="61" borderId="136" xfId="0" applyFont="1" applyFill="1" applyBorder="1" applyAlignment="1">
      <alignment horizontal="center" vertical="center" wrapText="1"/>
    </xf>
    <xf numFmtId="0" fontId="90" fillId="61" borderId="22" xfId="0" applyFont="1" applyFill="1" applyBorder="1" applyAlignment="1">
      <alignment horizontal="center" vertical="center" wrapText="1"/>
    </xf>
    <xf numFmtId="0" fontId="89" fillId="0" borderId="89" xfId="0" applyFont="1" applyFill="1" applyBorder="1" applyAlignment="1">
      <alignment horizontal="center" vertical="center"/>
    </xf>
    <xf numFmtId="3" fontId="89" fillId="42" borderId="12" xfId="0" applyNumberFormat="1" applyFont="1" applyFill="1" applyBorder="1" applyAlignment="1">
      <alignment horizontal="center" vertical="center"/>
    </xf>
    <xf numFmtId="3" fontId="89" fillId="0" borderId="58" xfId="0" applyNumberFormat="1" applyFont="1" applyFill="1" applyBorder="1" applyAlignment="1">
      <alignment horizontal="center" vertical="center"/>
    </xf>
    <xf numFmtId="3" fontId="89" fillId="0" borderId="59" xfId="0" applyNumberFormat="1" applyFont="1" applyFill="1" applyBorder="1" applyAlignment="1">
      <alignment horizontal="center" vertical="center"/>
    </xf>
    <xf numFmtId="3" fontId="89" fillId="42" borderId="139" xfId="0" applyNumberFormat="1" applyFont="1" applyFill="1" applyBorder="1" applyAlignment="1">
      <alignment horizontal="center" vertical="center"/>
    </xf>
    <xf numFmtId="3" fontId="89" fillId="0" borderId="135" xfId="0" applyNumberFormat="1" applyFont="1" applyFill="1" applyBorder="1" applyAlignment="1">
      <alignment horizontal="center" vertical="center"/>
    </xf>
    <xf numFmtId="0" fontId="88" fillId="0" borderId="111" xfId="0" applyFont="1" applyFill="1" applyBorder="1" applyAlignment="1">
      <alignment horizontal="center" vertical="center"/>
    </xf>
    <xf numFmtId="3" fontId="88" fillId="42" borderId="90" xfId="0" applyNumberFormat="1" applyFont="1" applyFill="1" applyBorder="1" applyAlignment="1">
      <alignment horizontal="center" vertical="center"/>
    </xf>
    <xf numFmtId="3" fontId="88" fillId="42" borderId="141" xfId="0" applyNumberFormat="1" applyFont="1" applyFill="1" applyBorder="1" applyAlignment="1">
      <alignment horizontal="center" vertical="center"/>
    </xf>
    <xf numFmtId="3" fontId="28" fillId="0" borderId="129" xfId="0" applyNumberFormat="1" applyFont="1" applyFill="1" applyBorder="1" applyAlignment="1">
      <alignment horizontal="center" vertical="center"/>
    </xf>
    <xf numFmtId="181" fontId="10" fillId="0" borderId="91" xfId="0" applyNumberFormat="1" applyFont="1" applyFill="1" applyBorder="1" applyAlignment="1">
      <alignment horizontal="center" vertical="center"/>
    </xf>
    <xf numFmtId="182" fontId="10" fillId="0" borderId="92" xfId="0" applyNumberFormat="1" applyFont="1" applyFill="1" applyBorder="1" applyAlignment="1">
      <alignment horizontal="center" vertical="center"/>
    </xf>
    <xf numFmtId="3" fontId="88" fillId="42" borderId="140" xfId="0" applyNumberFormat="1" applyFont="1" applyFill="1" applyBorder="1" applyAlignment="1">
      <alignment horizontal="center" vertical="center"/>
    </xf>
    <xf numFmtId="0" fontId="88" fillId="0" borderId="125" xfId="0" applyFont="1" applyFill="1" applyBorder="1" applyAlignment="1">
      <alignment horizontal="center" vertical="center"/>
    </xf>
    <xf numFmtId="3" fontId="88" fillId="42" borderId="93" xfId="0" applyNumberFormat="1" applyFont="1" applyFill="1" applyBorder="1" applyAlignment="1">
      <alignment horizontal="center" vertical="center"/>
    </xf>
    <xf numFmtId="4" fontId="28" fillId="0" borderId="80" xfId="0" applyNumberFormat="1" applyFont="1" applyFill="1" applyBorder="1" applyAlignment="1">
      <alignment horizontal="center" vertical="center"/>
    </xf>
    <xf numFmtId="3" fontId="28" fillId="0" borderId="80" xfId="0" applyNumberFormat="1" applyFont="1" applyFill="1" applyBorder="1" applyAlignment="1">
      <alignment horizontal="center" vertical="center"/>
    </xf>
    <xf numFmtId="4" fontId="28" fillId="0" borderId="81" xfId="0" applyNumberFormat="1" applyFont="1" applyFill="1" applyBorder="1" applyAlignment="1">
      <alignment horizontal="center" vertical="center"/>
    </xf>
    <xf numFmtId="3" fontId="88" fillId="42" borderId="151" xfId="0" applyNumberFormat="1" applyFont="1" applyFill="1" applyBorder="1" applyAlignment="1">
      <alignment horizontal="center" vertical="center"/>
    </xf>
    <xf numFmtId="3" fontId="28" fillId="0" borderId="98" xfId="0" applyNumberFormat="1" applyFont="1" applyFill="1" applyBorder="1" applyAlignment="1">
      <alignment horizontal="center" vertical="center"/>
    </xf>
    <xf numFmtId="181" fontId="10" fillId="0" borderId="80" xfId="0" applyNumberFormat="1" applyFont="1" applyFill="1" applyBorder="1" applyAlignment="1">
      <alignment horizontal="center" vertical="center"/>
    </xf>
    <xf numFmtId="170" fontId="10" fillId="0" borderId="80" xfId="0" applyNumberFormat="1" applyFont="1" applyFill="1" applyBorder="1" applyAlignment="1">
      <alignment horizontal="center" vertical="center"/>
    </xf>
    <xf numFmtId="182" fontId="10" fillId="0" borderId="81" xfId="0" applyNumberFormat="1" applyFont="1" applyFill="1" applyBorder="1" applyAlignment="1">
      <alignment horizontal="center" vertical="center"/>
    </xf>
    <xf numFmtId="3" fontId="10" fillId="0" borderId="126" xfId="0" applyNumberFormat="1" applyFont="1" applyFill="1" applyBorder="1" applyAlignment="1">
      <alignment horizontal="center" vertical="center"/>
    </xf>
    <xf numFmtId="37" fontId="0" fillId="0" borderId="103" xfId="0" applyNumberFormat="1" applyFill="1" applyBorder="1" applyAlignment="1">
      <alignment horizontal="center" vertical="center"/>
    </xf>
    <xf numFmtId="0" fontId="18" fillId="4" borderId="0" xfId="2" applyFill="1" applyBorder="1" applyAlignment="1" applyProtection="1">
      <alignment horizontal="center" vertical="center" wrapText="1"/>
    </xf>
    <xf numFmtId="10" fontId="13" fillId="0" borderId="21" xfId="0" applyNumberFormat="1" applyFont="1" applyFill="1" applyBorder="1" applyAlignment="1">
      <alignment horizontal="center" vertical="center"/>
    </xf>
    <xf numFmtId="170" fontId="45" fillId="0" borderId="21" xfId="0" applyNumberFormat="1" applyFont="1" applyFill="1" applyBorder="1" applyAlignment="1">
      <alignment horizontal="center" vertical="center" wrapText="1"/>
    </xf>
    <xf numFmtId="170" fontId="45" fillId="0" borderId="5" xfId="0" applyNumberFormat="1" applyFont="1" applyFill="1" applyBorder="1" applyAlignment="1">
      <alignment horizontal="center" vertical="center" wrapText="1"/>
    </xf>
    <xf numFmtId="0" fontId="10" fillId="0" borderId="95" xfId="0" applyFont="1" applyFill="1" applyBorder="1" applyAlignment="1">
      <alignment horizontal="center"/>
    </xf>
    <xf numFmtId="3" fontId="28" fillId="0" borderId="105" xfId="0" applyNumberFormat="1" applyFont="1" applyFill="1" applyBorder="1" applyAlignment="1">
      <alignment horizontal="center" vertical="center" wrapText="1"/>
    </xf>
    <xf numFmtId="10" fontId="10" fillId="0" borderId="105" xfId="0" applyNumberFormat="1" applyFont="1" applyFill="1" applyBorder="1" applyAlignment="1">
      <alignment horizontal="center" vertical="center"/>
    </xf>
    <xf numFmtId="4" fontId="10" fillId="0" borderId="107" xfId="0" applyNumberFormat="1" applyFont="1" applyFill="1" applyBorder="1" applyAlignment="1">
      <alignment horizontal="center" vertical="center"/>
    </xf>
    <xf numFmtId="0" fontId="10" fillId="0" borderId="0" xfId="19"/>
    <xf numFmtId="0" fontId="10" fillId="4" borderId="0" xfId="19" applyFill="1"/>
    <xf numFmtId="0" fontId="10" fillId="4" borderId="0" xfId="19" applyFont="1" applyFill="1"/>
    <xf numFmtId="0" fontId="10" fillId="0" borderId="97" xfId="19" applyFont="1" applyFill="1" applyBorder="1" applyAlignment="1">
      <alignment horizontal="center" vertical="center"/>
    </xf>
    <xf numFmtId="0" fontId="10" fillId="0" borderId="96" xfId="19" applyFont="1" applyFill="1" applyBorder="1" applyAlignment="1">
      <alignment horizontal="center" vertical="center"/>
    </xf>
    <xf numFmtId="0" fontId="10" fillId="0" borderId="78" xfId="19" applyFont="1" applyFill="1" applyBorder="1" applyAlignment="1">
      <alignment horizontal="center" vertical="center"/>
    </xf>
    <xf numFmtId="0" fontId="10" fillId="0" borderId="95" xfId="19" applyFont="1" applyFill="1" applyBorder="1" applyAlignment="1">
      <alignment horizontal="center" vertical="center"/>
    </xf>
    <xf numFmtId="0" fontId="10" fillId="0" borderId="91" xfId="19" applyFont="1" applyFill="1" applyBorder="1" applyAlignment="1">
      <alignment horizontal="center" vertical="center"/>
    </xf>
    <xf numFmtId="0" fontId="10" fillId="0" borderId="90" xfId="19" applyFont="1" applyFill="1" applyBorder="1" applyAlignment="1">
      <alignment horizontal="center" vertical="center"/>
    </xf>
    <xf numFmtId="0" fontId="13" fillId="4" borderId="11" xfId="19" applyFont="1" applyFill="1" applyBorder="1" applyAlignment="1">
      <alignment horizontal="center" vertical="center" wrapText="1"/>
    </xf>
    <xf numFmtId="0" fontId="13" fillId="4" borderId="18" xfId="19" applyFont="1" applyFill="1" applyBorder="1" applyAlignment="1">
      <alignment horizontal="center" vertical="center" wrapText="1"/>
    </xf>
    <xf numFmtId="0" fontId="13" fillId="4" borderId="10" xfId="19" applyFont="1" applyFill="1" applyBorder="1" applyAlignment="1">
      <alignment horizontal="center" vertical="center" wrapText="1"/>
    </xf>
    <xf numFmtId="3" fontId="10" fillId="4" borderId="0" xfId="19" applyNumberFormat="1" applyFont="1" applyFill="1"/>
    <xf numFmtId="3" fontId="10" fillId="4" borderId="59" xfId="19" applyNumberFormat="1" applyFont="1" applyFill="1" applyBorder="1" applyAlignment="1">
      <alignment horizontal="center" vertical="center"/>
    </xf>
    <xf numFmtId="0" fontId="69" fillId="61" borderId="11" xfId="19" applyFont="1" applyFill="1" applyBorder="1" applyAlignment="1">
      <alignment horizontal="center" vertical="center" wrapText="1"/>
    </xf>
    <xf numFmtId="0" fontId="69" fillId="61" borderId="10" xfId="19" applyFont="1" applyFill="1" applyBorder="1" applyAlignment="1">
      <alignment horizontal="center" vertical="center"/>
    </xf>
    <xf numFmtId="0" fontId="13" fillId="4" borderId="12" xfId="19" applyNumberFormat="1" applyFont="1" applyFill="1" applyBorder="1" applyAlignment="1">
      <alignment horizontal="left" vertical="top" wrapText="1"/>
    </xf>
    <xf numFmtId="0" fontId="13" fillId="4" borderId="10" xfId="19" applyNumberFormat="1" applyFont="1" applyFill="1" applyBorder="1" applyAlignment="1">
      <alignment horizontal="left" vertical="top" wrapText="1"/>
    </xf>
    <xf numFmtId="0" fontId="14" fillId="4" borderId="0" xfId="19" applyFont="1" applyFill="1" applyAlignment="1"/>
    <xf numFmtId="0" fontId="10" fillId="36" borderId="5" xfId="0" applyFont="1" applyFill="1" applyBorder="1" applyAlignment="1">
      <alignment horizontal="center" vertical="center"/>
    </xf>
    <xf numFmtId="49" fontId="10" fillId="0" borderId="91" xfId="19" applyNumberFormat="1" applyFont="1" applyFill="1" applyBorder="1" applyAlignment="1">
      <alignment horizontal="center" vertical="center"/>
    </xf>
    <xf numFmtId="49" fontId="10" fillId="0" borderId="78" xfId="19" applyNumberFormat="1" applyFont="1" applyFill="1" applyBorder="1" applyAlignment="1">
      <alignment horizontal="center" vertical="center"/>
    </xf>
    <xf numFmtId="49" fontId="10" fillId="0" borderId="97" xfId="19" applyNumberFormat="1" applyFont="1" applyFill="1" applyBorder="1" applyAlignment="1">
      <alignment horizontal="center" vertical="center"/>
    </xf>
    <xf numFmtId="49" fontId="10" fillId="42" borderId="12" xfId="19" applyNumberFormat="1" applyFont="1" applyFill="1" applyBorder="1" applyAlignment="1">
      <alignment horizontal="center" vertical="center" wrapText="1"/>
    </xf>
    <xf numFmtId="3" fontId="13" fillId="68" borderId="58" xfId="0" applyNumberFormat="1" applyFont="1" applyFill="1" applyBorder="1" applyAlignment="1">
      <alignment horizontal="center" vertical="center"/>
    </xf>
    <xf numFmtId="168" fontId="10" fillId="0" borderId="78" xfId="0" applyNumberFormat="1" applyFont="1" applyFill="1" applyBorder="1" applyAlignment="1">
      <alignment horizontal="center" vertical="center"/>
    </xf>
    <xf numFmtId="168" fontId="10" fillId="0" borderId="97" xfId="0" applyNumberFormat="1" applyFont="1" applyFill="1" applyBorder="1" applyAlignment="1">
      <alignment horizontal="center" vertical="center"/>
    </xf>
    <xf numFmtId="168" fontId="13" fillId="0" borderId="58" xfId="0" applyNumberFormat="1" applyFont="1" applyFill="1" applyBorder="1" applyAlignment="1">
      <alignment horizontal="center" vertical="center"/>
    </xf>
    <xf numFmtId="37" fontId="28" fillId="0" borderId="78" xfId="1" applyNumberFormat="1" applyFont="1" applyFill="1" applyBorder="1" applyAlignment="1">
      <alignment horizontal="center" vertical="center"/>
    </xf>
    <xf numFmtId="9" fontId="28" fillId="0" borderId="78" xfId="3" applyFont="1" applyFill="1" applyBorder="1" applyAlignment="1">
      <alignment horizontal="center" vertical="center"/>
    </xf>
    <xf numFmtId="37" fontId="28" fillId="0" borderId="97" xfId="1" applyNumberFormat="1" applyFont="1" applyFill="1" applyBorder="1" applyAlignment="1">
      <alignment horizontal="center" vertical="center"/>
    </xf>
    <xf numFmtId="9" fontId="28" fillId="0" borderId="97" xfId="3" applyFont="1" applyFill="1" applyBorder="1" applyAlignment="1">
      <alignment horizontal="center" vertical="center"/>
    </xf>
    <xf numFmtId="37" fontId="28" fillId="0" borderId="133" xfId="0" applyNumberFormat="1" applyFont="1" applyFill="1" applyBorder="1" applyAlignment="1">
      <alignment horizontal="center" vertical="center"/>
    </xf>
    <xf numFmtId="3" fontId="28" fillId="0" borderId="78" xfId="1" applyNumberFormat="1" applyFont="1" applyFill="1" applyBorder="1" applyAlignment="1">
      <alignment horizontal="center" vertical="center"/>
    </xf>
    <xf numFmtId="3" fontId="28" fillId="0" borderId="105" xfId="1" applyNumberFormat="1" applyFont="1" applyFill="1" applyBorder="1" applyAlignment="1">
      <alignment horizontal="center" vertical="center"/>
    </xf>
    <xf numFmtId="10" fontId="28" fillId="0" borderId="78" xfId="0" applyNumberFormat="1" applyFont="1" applyFill="1" applyBorder="1" applyAlignment="1">
      <alignment horizontal="center" vertical="center"/>
    </xf>
    <xf numFmtId="10" fontId="28" fillId="0" borderId="105" xfId="0" applyNumberFormat="1" applyFont="1" applyFill="1" applyBorder="1" applyAlignment="1">
      <alignment horizontal="center" vertical="center"/>
    </xf>
    <xf numFmtId="166" fontId="0" fillId="0" borderId="99" xfId="3" applyNumberFormat="1" applyFont="1" applyFill="1" applyBorder="1" applyAlignment="1">
      <alignment horizontal="center" vertical="center"/>
    </xf>
    <xf numFmtId="166" fontId="0" fillId="0" borderId="78" xfId="3" applyNumberFormat="1" applyFont="1" applyFill="1" applyBorder="1" applyAlignment="1">
      <alignment horizontal="center" vertical="center"/>
    </xf>
    <xf numFmtId="166" fontId="13" fillId="0" borderId="58" xfId="3" applyNumberFormat="1" applyFont="1" applyFill="1" applyBorder="1" applyAlignment="1">
      <alignment horizontal="center" vertical="center"/>
    </xf>
    <xf numFmtId="9" fontId="0" fillId="0" borderId="99" xfId="3" applyNumberFormat="1" applyFont="1" applyFill="1" applyBorder="1" applyAlignment="1">
      <alignment horizontal="center" vertical="center"/>
    </xf>
    <xf numFmtId="9" fontId="0" fillId="0" borderId="97" xfId="3" applyNumberFormat="1" applyFont="1" applyFill="1" applyBorder="1" applyAlignment="1">
      <alignment horizontal="center" vertical="center"/>
    </xf>
    <xf numFmtId="3" fontId="10" fillId="0" borderId="12" xfId="0" applyNumberFormat="1" applyFont="1" applyFill="1" applyBorder="1" applyAlignment="1">
      <alignment horizontal="center" vertical="center"/>
    </xf>
    <xf numFmtId="3" fontId="10" fillId="0" borderId="92" xfId="19" applyNumberFormat="1" applyFont="1" applyFill="1" applyBorder="1" applyAlignment="1">
      <alignment horizontal="center" vertical="center"/>
    </xf>
    <xf numFmtId="3" fontId="10" fillId="0" borderId="79" xfId="19" applyNumberFormat="1" applyFont="1" applyFill="1" applyBorder="1" applyAlignment="1">
      <alignment horizontal="center" vertical="center"/>
    </xf>
    <xf numFmtId="3" fontId="10" fillId="0" borderId="108" xfId="19" applyNumberFormat="1" applyFont="1" applyFill="1" applyBorder="1" applyAlignment="1">
      <alignment horizontal="center" vertical="center"/>
    </xf>
    <xf numFmtId="2" fontId="28" fillId="68" borderId="10" xfId="0" applyNumberFormat="1" applyFont="1" applyFill="1" applyBorder="1" applyAlignment="1">
      <alignment horizontal="center" vertical="center"/>
    </xf>
    <xf numFmtId="2" fontId="28" fillId="68" borderId="18" xfId="0" applyNumberFormat="1" applyFont="1" applyFill="1" applyBorder="1" applyAlignment="1">
      <alignment horizontal="center" vertical="center"/>
    </xf>
    <xf numFmtId="2" fontId="28" fillId="68" borderId="40" xfId="0" applyNumberFormat="1" applyFont="1" applyFill="1" applyBorder="1" applyAlignment="1">
      <alignment horizontal="center" vertical="center"/>
    </xf>
    <xf numFmtId="2" fontId="28" fillId="68" borderId="132" xfId="0" applyNumberFormat="1" applyFont="1" applyFill="1" applyBorder="1" applyAlignment="1">
      <alignment horizontal="center" vertical="center"/>
    </xf>
    <xf numFmtId="2" fontId="28" fillId="68" borderId="131" xfId="0" applyNumberFormat="1" applyFont="1" applyFill="1" applyBorder="1" applyAlignment="1">
      <alignment horizontal="center" vertical="center"/>
    </xf>
    <xf numFmtId="2" fontId="28" fillId="68" borderId="134" xfId="0" applyNumberFormat="1" applyFont="1" applyFill="1" applyBorder="1" applyAlignment="1">
      <alignment horizontal="center" vertical="center"/>
    </xf>
    <xf numFmtId="0" fontId="28" fillId="68" borderId="12" xfId="0" applyFont="1" applyFill="1" applyBorder="1" applyAlignment="1">
      <alignment horizontal="center" vertical="center"/>
    </xf>
    <xf numFmtId="0" fontId="28" fillId="68" borderId="58" xfId="0" applyFont="1" applyFill="1" applyBorder="1" applyAlignment="1">
      <alignment horizontal="center" vertical="center"/>
    </xf>
    <xf numFmtId="0" fontId="28" fillId="68" borderId="59" xfId="0" applyFont="1" applyFill="1" applyBorder="1" applyAlignment="1">
      <alignment horizontal="center" vertical="center"/>
    </xf>
    <xf numFmtId="3" fontId="28" fillId="70" borderId="18" xfId="0" applyNumberFormat="1" applyFont="1" applyFill="1" applyBorder="1" applyAlignment="1">
      <alignment horizontal="center" vertical="center"/>
    </xf>
    <xf numFmtId="3" fontId="28" fillId="70" borderId="131" xfId="0" applyNumberFormat="1" applyFont="1" applyFill="1" applyBorder="1" applyAlignment="1">
      <alignment horizontal="center" vertical="center"/>
    </xf>
    <xf numFmtId="3" fontId="28" fillId="70" borderId="58" xfId="0" applyNumberFormat="1" applyFont="1" applyFill="1" applyBorder="1" applyAlignment="1">
      <alignment horizontal="center" vertical="center"/>
    </xf>
    <xf numFmtId="3" fontId="28" fillId="70" borderId="12" xfId="0" applyNumberFormat="1" applyFont="1" applyFill="1" applyBorder="1" applyAlignment="1">
      <alignment horizontal="center" vertical="center"/>
    </xf>
    <xf numFmtId="3" fontId="28" fillId="70" borderId="10" xfId="0" applyNumberFormat="1" applyFont="1" applyFill="1" applyBorder="1" applyAlignment="1">
      <alignment horizontal="center" vertical="center"/>
    </xf>
    <xf numFmtId="3" fontId="28" fillId="70" borderId="132" xfId="0" applyNumberFormat="1" applyFont="1" applyFill="1" applyBorder="1" applyAlignment="1">
      <alignment horizontal="center" vertical="center"/>
    </xf>
    <xf numFmtId="3" fontId="28" fillId="70" borderId="153" xfId="0" applyNumberFormat="1" applyFont="1" applyFill="1" applyBorder="1" applyAlignment="1">
      <alignment horizontal="center" vertical="center"/>
    </xf>
    <xf numFmtId="3" fontId="28" fillId="70" borderId="140" xfId="0" applyNumberFormat="1" applyFont="1" applyFill="1" applyBorder="1" applyAlignment="1">
      <alignment horizontal="center" vertical="center"/>
    </xf>
    <xf numFmtId="3" fontId="28" fillId="70" borderId="142" xfId="0" applyNumberFormat="1" applyFont="1" applyFill="1" applyBorder="1" applyAlignment="1">
      <alignment horizontal="center" vertical="center"/>
    </xf>
    <xf numFmtId="3" fontId="28" fillId="70" borderId="104" xfId="0" applyNumberFormat="1" applyFont="1" applyFill="1" applyBorder="1" applyAlignment="1">
      <alignment horizontal="center" vertical="center"/>
    </xf>
    <xf numFmtId="3" fontId="28" fillId="70" borderId="95" xfId="0" applyNumberFormat="1" applyFont="1" applyFill="1" applyBorder="1" applyAlignment="1">
      <alignment horizontal="center" vertical="center"/>
    </xf>
    <xf numFmtId="3" fontId="28" fillId="70" borderId="94" xfId="0" applyNumberFormat="1" applyFont="1" applyFill="1" applyBorder="1" applyAlignment="1">
      <alignment horizontal="center" vertical="center"/>
    </xf>
    <xf numFmtId="0" fontId="12" fillId="0" borderId="91" xfId="0" applyFont="1" applyFill="1" applyBorder="1" applyAlignment="1">
      <alignment horizontal="center" vertical="center"/>
    </xf>
    <xf numFmtId="0" fontId="12" fillId="0" borderId="78" xfId="0" applyFont="1" applyFill="1" applyBorder="1" applyAlignment="1">
      <alignment horizontal="center" vertical="center"/>
    </xf>
    <xf numFmtId="166" fontId="12" fillId="0" borderId="78" xfId="0" applyNumberFormat="1" applyFont="1" applyFill="1" applyBorder="1" applyAlignment="1">
      <alignment horizontal="center" vertical="center"/>
    </xf>
    <xf numFmtId="0" fontId="10" fillId="0" borderId="102" xfId="0" applyNumberFormat="1" applyFont="1" applyFill="1" applyBorder="1" applyAlignment="1">
      <alignment horizontal="center" vertical="center" wrapText="1"/>
    </xf>
    <xf numFmtId="0" fontId="28" fillId="0" borderId="131" xfId="0" applyFont="1" applyFill="1" applyBorder="1" applyAlignment="1">
      <alignment horizontal="center" vertical="center"/>
    </xf>
    <xf numFmtId="166" fontId="28" fillId="0" borderId="11" xfId="10" applyNumberFormat="1" applyFont="1" applyFill="1" applyBorder="1" applyAlignment="1">
      <alignment horizontal="center" vertical="center"/>
    </xf>
    <xf numFmtId="166" fontId="28" fillId="0" borderId="59" xfId="10" applyNumberFormat="1" applyFont="1" applyFill="1" applyBorder="1" applyAlignment="1">
      <alignment horizontal="center" vertical="center"/>
    </xf>
    <xf numFmtId="166" fontId="28" fillId="0" borderId="77" xfId="10" applyNumberFormat="1" applyFont="1" applyFill="1" applyBorder="1" applyAlignment="1">
      <alignment horizontal="center" vertical="center"/>
    </xf>
    <xf numFmtId="166" fontId="28" fillId="0" borderId="79" xfId="10" applyNumberFormat="1" applyFont="1" applyFill="1" applyBorder="1" applyAlignment="1">
      <alignment horizontal="center" vertical="center"/>
    </xf>
    <xf numFmtId="0" fontId="10" fillId="0" borderId="12" xfId="0" applyFont="1" applyFill="1" applyBorder="1" applyAlignment="1">
      <alignment horizontal="center" vertical="center"/>
    </xf>
    <xf numFmtId="0" fontId="10" fillId="0" borderId="58" xfId="0" applyFont="1" applyFill="1" applyBorder="1" applyAlignment="1">
      <alignment horizontal="center" vertical="center"/>
    </xf>
    <xf numFmtId="176" fontId="28" fillId="0" borderId="141" xfId="110" applyNumberFormat="1" applyFont="1" applyFill="1" applyBorder="1" applyAlignment="1">
      <alignment horizontal="center" vertical="center"/>
    </xf>
    <xf numFmtId="176" fontId="28" fillId="0" borderId="140" xfId="110" applyNumberFormat="1" applyFont="1" applyFill="1" applyBorder="1" applyAlignment="1">
      <alignment horizontal="center" vertical="center"/>
    </xf>
    <xf numFmtId="2" fontId="28" fillId="0" borderId="141" xfId="110" applyNumberFormat="1" applyFont="1" applyFill="1" applyBorder="1" applyAlignment="1">
      <alignment horizontal="center" vertical="center"/>
    </xf>
    <xf numFmtId="2" fontId="28" fillId="0" borderId="140" xfId="110" applyNumberFormat="1" applyFont="1" applyFill="1" applyBorder="1" applyAlignment="1">
      <alignment horizontal="center" vertical="center"/>
    </xf>
    <xf numFmtId="0" fontId="28" fillId="0" borderId="142" xfId="110" applyFont="1" applyFill="1" applyBorder="1" applyAlignment="1">
      <alignment horizontal="center" vertical="center"/>
    </xf>
    <xf numFmtId="0" fontId="28" fillId="0" borderId="78" xfId="0" applyFont="1" applyFill="1" applyBorder="1" applyAlignment="1">
      <alignment horizontal="center" vertical="center"/>
    </xf>
    <xf numFmtId="0" fontId="28" fillId="0" borderId="78" xfId="0" applyNumberFormat="1" applyFont="1" applyFill="1" applyBorder="1" applyAlignment="1">
      <alignment horizontal="center" vertical="center" wrapText="1"/>
    </xf>
    <xf numFmtId="172" fontId="28" fillId="0" borderId="78" xfId="0" applyNumberFormat="1" applyFont="1" applyFill="1" applyBorder="1" applyAlignment="1">
      <alignment horizontal="center" vertical="center"/>
    </xf>
    <xf numFmtId="2" fontId="10" fillId="0" borderId="58" xfId="0" applyNumberFormat="1" applyFont="1" applyFill="1" applyBorder="1" applyAlignment="1">
      <alignment horizontal="center" vertical="center"/>
    </xf>
    <xf numFmtId="168" fontId="10" fillId="0" borderId="135" xfId="0" applyNumberFormat="1" applyFont="1" applyFill="1" applyBorder="1" applyAlignment="1">
      <alignment horizontal="center" vertical="center"/>
    </xf>
    <xf numFmtId="2" fontId="10" fillId="0" borderId="19" xfId="0" applyNumberFormat="1" applyFont="1" applyFill="1" applyBorder="1" applyAlignment="1">
      <alignment horizontal="center" vertical="center"/>
    </xf>
    <xf numFmtId="168" fontId="10" fillId="0" borderId="19" xfId="0" applyNumberFormat="1" applyFont="1" applyFill="1" applyBorder="1" applyAlignment="1">
      <alignment horizontal="center" vertical="center"/>
    </xf>
    <xf numFmtId="2" fontId="10" fillId="0" borderId="41" xfId="0" applyNumberFormat="1" applyFont="1" applyFill="1" applyBorder="1" applyAlignment="1">
      <alignment horizontal="center" vertical="center"/>
    </xf>
    <xf numFmtId="2" fontId="10" fillId="0" borderId="133" xfId="0" applyNumberFormat="1" applyFont="1" applyFill="1" applyBorder="1" applyAlignment="1">
      <alignment horizontal="center" vertical="center"/>
    </xf>
    <xf numFmtId="2" fontId="10" fillId="0" borderId="59" xfId="0" applyNumberFormat="1" applyFont="1" applyFill="1" applyBorder="1" applyAlignment="1">
      <alignment horizontal="center" vertical="center"/>
    </xf>
    <xf numFmtId="166" fontId="50" fillId="0" borderId="91" xfId="3" applyNumberFormat="1" applyFont="1" applyFill="1" applyBorder="1" applyAlignment="1">
      <alignment horizontal="center" vertical="center" wrapText="1"/>
    </xf>
    <xf numFmtId="166" fontId="50" fillId="0" borderId="78" xfId="3" applyNumberFormat="1" applyFont="1" applyFill="1" applyBorder="1" applyAlignment="1">
      <alignment horizontal="center" vertical="center" wrapText="1"/>
    </xf>
    <xf numFmtId="166" fontId="50" fillId="0" borderId="80" xfId="3" applyNumberFormat="1" applyFont="1" applyFill="1" applyBorder="1" applyAlignment="1">
      <alignment horizontal="center" vertical="center" wrapText="1"/>
    </xf>
    <xf numFmtId="9" fontId="50" fillId="0" borderId="137" xfId="3" applyNumberFormat="1" applyFont="1" applyFill="1" applyBorder="1" applyAlignment="1">
      <alignment horizontal="center" vertical="center" wrapText="1"/>
    </xf>
    <xf numFmtId="0" fontId="10" fillId="0" borderId="131" xfId="0" applyFont="1" applyFill="1" applyBorder="1" applyAlignment="1">
      <alignment horizontal="center" vertical="center" wrapText="1"/>
    </xf>
    <xf numFmtId="1" fontId="10" fillId="0" borderId="58" xfId="2" applyNumberFormat="1" applyFont="1" applyFill="1" applyBorder="1" applyAlignment="1" applyProtection="1">
      <alignment horizontal="center" vertical="center"/>
    </xf>
    <xf numFmtId="1" fontId="10" fillId="0" borderId="58" xfId="0" applyNumberFormat="1" applyFont="1" applyFill="1" applyBorder="1" applyAlignment="1">
      <alignment horizontal="center" vertical="center"/>
    </xf>
    <xf numFmtId="9" fontId="10" fillId="0" borderId="131" xfId="0" applyNumberFormat="1" applyFont="1" applyFill="1" applyBorder="1" applyAlignment="1">
      <alignment horizontal="center" vertical="center" wrapText="1"/>
    </xf>
    <xf numFmtId="9" fontId="10" fillId="0" borderId="58" xfId="0" applyNumberFormat="1" applyFont="1" applyFill="1" applyBorder="1" applyAlignment="1">
      <alignment horizontal="center" vertical="center" wrapText="1"/>
    </xf>
    <xf numFmtId="9" fontId="10" fillId="0" borderId="91" xfId="0" applyNumberFormat="1" applyFont="1" applyFill="1" applyBorder="1" applyAlignment="1">
      <alignment horizontal="center" vertical="center"/>
    </xf>
    <xf numFmtId="9" fontId="10" fillId="0" borderId="78" xfId="0" applyNumberFormat="1" applyFont="1" applyFill="1" applyBorder="1" applyAlignment="1">
      <alignment horizontal="center" vertical="center"/>
    </xf>
    <xf numFmtId="9" fontId="10" fillId="0" borderId="105" xfId="0" applyNumberFormat="1" applyFont="1" applyFill="1" applyBorder="1" applyAlignment="1">
      <alignment horizontal="center" vertical="center"/>
    </xf>
    <xf numFmtId="170" fontId="10" fillId="0" borderId="55" xfId="3" applyNumberFormat="1" applyFont="1" applyFill="1" applyBorder="1" applyAlignment="1">
      <alignment horizontal="center"/>
    </xf>
    <xf numFmtId="170" fontId="10" fillId="0" borderId="57" xfId="0" applyNumberFormat="1" applyFont="1" applyFill="1" applyBorder="1" applyAlignment="1">
      <alignment horizontal="center" vertical="center"/>
    </xf>
    <xf numFmtId="3" fontId="10" fillId="0" borderId="57" xfId="0" applyNumberFormat="1" applyFont="1" applyFill="1" applyBorder="1" applyAlignment="1">
      <alignment horizontal="center" vertical="center"/>
    </xf>
    <xf numFmtId="171" fontId="10" fillId="0" borderId="57" xfId="0" applyNumberFormat="1" applyFont="1" applyFill="1" applyBorder="1" applyAlignment="1">
      <alignment horizontal="center" vertical="center"/>
    </xf>
    <xf numFmtId="191" fontId="28" fillId="0" borderId="133" xfId="0" applyNumberFormat="1" applyFont="1" applyFill="1" applyBorder="1" applyAlignment="1">
      <alignment horizontal="center" vertical="center" wrapText="1"/>
    </xf>
    <xf numFmtId="189" fontId="28" fillId="0" borderId="133" xfId="0" applyNumberFormat="1" applyFont="1" applyFill="1" applyBorder="1" applyAlignment="1">
      <alignment horizontal="center" vertical="center" wrapText="1"/>
    </xf>
    <xf numFmtId="190" fontId="28" fillId="0" borderId="133" xfId="0" applyNumberFormat="1" applyFont="1" applyFill="1" applyBorder="1" applyAlignment="1">
      <alignment horizontal="center" vertical="center" wrapText="1"/>
    </xf>
    <xf numFmtId="3" fontId="13" fillId="68" borderId="12" xfId="0" applyNumberFormat="1" applyFont="1" applyFill="1" applyBorder="1" applyAlignment="1">
      <alignment horizontal="center" vertical="center"/>
    </xf>
    <xf numFmtId="3" fontId="13" fillId="68" borderId="59" xfId="0" applyNumberFormat="1" applyFont="1" applyFill="1" applyBorder="1" applyAlignment="1">
      <alignment horizontal="center" vertical="center"/>
    </xf>
    <xf numFmtId="3" fontId="13" fillId="68" borderId="139" xfId="0" applyNumberFormat="1" applyFont="1" applyFill="1" applyBorder="1" applyAlignment="1">
      <alignment horizontal="center" vertical="center"/>
    </xf>
    <xf numFmtId="0" fontId="10" fillId="39" borderId="58" xfId="19" applyFont="1" applyFill="1" applyBorder="1" applyAlignment="1">
      <alignment horizontal="center" vertical="center" wrapText="1"/>
    </xf>
    <xf numFmtId="0" fontId="10" fillId="39" borderId="105" xfId="19" applyFont="1" applyFill="1" applyBorder="1" applyAlignment="1">
      <alignment horizontal="center" vertical="center" wrapText="1"/>
    </xf>
    <xf numFmtId="170" fontId="10" fillId="39" borderId="105" xfId="19" applyNumberFormat="1" applyFont="1" applyFill="1" applyBorder="1" applyAlignment="1">
      <alignment horizontal="center" vertical="center" wrapText="1"/>
    </xf>
    <xf numFmtId="3" fontId="10" fillId="39" borderId="105" xfId="19" applyNumberFormat="1" applyFont="1" applyFill="1" applyBorder="1" applyAlignment="1">
      <alignment horizontal="center" vertical="center" wrapText="1"/>
    </xf>
    <xf numFmtId="0" fontId="10" fillId="41" borderId="8" xfId="19" applyFont="1" applyFill="1" applyBorder="1" applyAlignment="1">
      <alignment horizontal="center" vertical="center"/>
    </xf>
    <xf numFmtId="0" fontId="10" fillId="41" borderId="8" xfId="19" applyFont="1" applyFill="1" applyBorder="1" applyAlignment="1">
      <alignment horizontal="center" wrapText="1"/>
    </xf>
    <xf numFmtId="0" fontId="10" fillId="41" borderId="58" xfId="19" applyFont="1" applyFill="1" applyBorder="1" applyAlignment="1">
      <alignment horizontal="center" vertical="center" wrapText="1"/>
    </xf>
    <xf numFmtId="3" fontId="10" fillId="41" borderId="58" xfId="19" applyNumberFormat="1" applyFont="1" applyFill="1" applyBorder="1" applyAlignment="1">
      <alignment horizontal="center" vertical="center" wrapText="1"/>
    </xf>
    <xf numFmtId="3" fontId="10" fillId="39" borderId="77" xfId="19" applyNumberFormat="1" applyFont="1" applyFill="1" applyBorder="1" applyAlignment="1">
      <alignment horizontal="center" vertical="center" wrapText="1"/>
    </xf>
    <xf numFmtId="3" fontId="10" fillId="39" borderId="79" xfId="19" applyNumberFormat="1" applyFont="1" applyFill="1" applyBorder="1" applyAlignment="1">
      <alignment horizontal="center" vertical="center" wrapText="1"/>
    </xf>
    <xf numFmtId="3" fontId="10" fillId="39" borderId="81" xfId="19" applyNumberFormat="1" applyFont="1" applyFill="1" applyBorder="1" applyAlignment="1">
      <alignment horizontal="center" vertical="center" wrapText="1"/>
    </xf>
    <xf numFmtId="3" fontId="10" fillId="39" borderId="92" xfId="19" applyNumberFormat="1" applyFont="1" applyFill="1" applyBorder="1" applyAlignment="1">
      <alignment horizontal="center" vertical="center" wrapText="1"/>
    </xf>
    <xf numFmtId="3" fontId="10" fillId="39" borderId="108" xfId="19" applyNumberFormat="1" applyFont="1" applyFill="1" applyBorder="1" applyAlignment="1">
      <alignment horizontal="center" vertical="center" wrapText="1"/>
    </xf>
    <xf numFmtId="3" fontId="10" fillId="39" borderId="107" xfId="19" applyNumberFormat="1" applyFont="1" applyFill="1" applyBorder="1" applyAlignment="1">
      <alignment horizontal="center" vertical="center" wrapText="1"/>
    </xf>
    <xf numFmtId="3" fontId="10" fillId="36" borderId="100" xfId="15" applyNumberFormat="1" applyFont="1" applyFill="1" applyBorder="1" applyAlignment="1">
      <alignment horizontal="center" vertical="center" wrapText="1"/>
    </xf>
    <xf numFmtId="3" fontId="10" fillId="36" borderId="9" xfId="15" applyNumberFormat="1" applyFont="1" applyFill="1" applyBorder="1" applyAlignment="1">
      <alignment horizontal="center" vertical="center" wrapText="1"/>
    </xf>
    <xf numFmtId="3" fontId="10" fillId="36" borderId="79" xfId="15" applyNumberFormat="1" applyFont="1" applyFill="1" applyBorder="1" applyAlignment="1">
      <alignment horizontal="center" vertical="center" wrapText="1"/>
    </xf>
    <xf numFmtId="3" fontId="10" fillId="36" borderId="81" xfId="15" applyNumberFormat="1" applyFont="1" applyFill="1" applyBorder="1" applyAlignment="1">
      <alignment horizontal="center" vertical="center" wrapText="1"/>
    </xf>
    <xf numFmtId="3" fontId="10" fillId="37" borderId="11" xfId="15" applyNumberFormat="1" applyFont="1" applyFill="1" applyBorder="1" applyAlignment="1">
      <alignment horizontal="center" vertical="center" wrapText="1"/>
    </xf>
    <xf numFmtId="3" fontId="10" fillId="37" borderId="133" xfId="15" applyNumberFormat="1" applyFont="1" applyFill="1" applyBorder="1" applyAlignment="1">
      <alignment horizontal="center" vertical="center" wrapText="1"/>
    </xf>
    <xf numFmtId="0" fontId="10" fillId="41" borderId="131" xfId="19" applyFont="1" applyFill="1" applyBorder="1" applyAlignment="1">
      <alignment horizontal="center" vertical="center"/>
    </xf>
    <xf numFmtId="0" fontId="10" fillId="41" borderId="58" xfId="19" applyFont="1" applyFill="1" applyBorder="1" applyAlignment="1">
      <alignment horizontal="center" wrapText="1"/>
    </xf>
    <xf numFmtId="3" fontId="10" fillId="37" borderId="59" xfId="15" applyNumberFormat="1" applyFont="1" applyFill="1" applyBorder="1" applyAlignment="1">
      <alignment horizontal="center" vertical="center" wrapText="1"/>
    </xf>
    <xf numFmtId="3" fontId="13" fillId="0" borderId="5" xfId="19" applyNumberFormat="1" applyFont="1" applyFill="1" applyBorder="1" applyAlignment="1">
      <alignment horizontal="center" wrapText="1"/>
    </xf>
    <xf numFmtId="37" fontId="10" fillId="36" borderId="100" xfId="15" applyNumberFormat="1" applyFont="1" applyFill="1" applyBorder="1" applyAlignment="1">
      <alignment horizontal="center" vertical="center" wrapText="1"/>
    </xf>
    <xf numFmtId="170" fontId="10" fillId="39" borderId="76" xfId="19" applyNumberFormat="1" applyFont="1" applyFill="1" applyBorder="1" applyAlignment="1">
      <alignment horizontal="center" vertical="center" wrapText="1"/>
    </xf>
    <xf numFmtId="170" fontId="10" fillId="39" borderId="97" xfId="19" applyNumberFormat="1" applyFont="1" applyFill="1" applyBorder="1" applyAlignment="1">
      <alignment horizontal="center" vertical="center" wrapText="1"/>
    </xf>
    <xf numFmtId="4" fontId="10" fillId="39" borderId="97" xfId="19" applyNumberFormat="1" applyFont="1" applyFill="1" applyBorder="1" applyAlignment="1">
      <alignment horizontal="center" vertical="center" wrapText="1"/>
    </xf>
    <xf numFmtId="37" fontId="10" fillId="37" borderId="9" xfId="15" applyNumberFormat="1" applyFont="1" applyFill="1" applyBorder="1" applyAlignment="1">
      <alignment horizontal="center" vertical="center" wrapText="1"/>
    </xf>
    <xf numFmtId="3" fontId="27" fillId="4" borderId="0" xfId="10" applyNumberFormat="1" applyFont="1" applyFill="1"/>
    <xf numFmtId="170" fontId="10" fillId="0" borderId="131" xfId="0" applyNumberFormat="1" applyFont="1" applyFill="1" applyBorder="1" applyAlignment="1">
      <alignment horizontal="center" vertical="center" wrapText="1"/>
    </xf>
    <xf numFmtId="170" fontId="10" fillId="0" borderId="58" xfId="0" applyNumberFormat="1" applyFont="1" applyFill="1" applyBorder="1" applyAlignment="1">
      <alignment horizontal="center" vertical="center" wrapText="1"/>
    </xf>
    <xf numFmtId="2" fontId="10" fillId="0" borderId="133" xfId="0" applyNumberFormat="1" applyFont="1" applyFill="1" applyBorder="1" applyAlignment="1">
      <alignment horizontal="center" vertical="center" wrapText="1"/>
    </xf>
    <xf numFmtId="2" fontId="10" fillId="0" borderId="59" xfId="0" applyNumberFormat="1" applyFont="1" applyFill="1" applyBorder="1" applyAlignment="1">
      <alignment horizontal="center" vertical="center" wrapText="1"/>
    </xf>
    <xf numFmtId="9" fontId="28" fillId="41" borderId="99" xfId="3" applyFont="1" applyFill="1" applyBorder="1" applyAlignment="1">
      <alignment horizontal="center" vertical="center"/>
    </xf>
    <xf numFmtId="3" fontId="28" fillId="41" borderId="99" xfId="3" applyNumberFormat="1" applyFont="1" applyFill="1" applyBorder="1" applyAlignment="1">
      <alignment horizontal="center" vertical="center"/>
    </xf>
    <xf numFmtId="3" fontId="28" fillId="41" borderId="100" xfId="3" applyNumberFormat="1" applyFont="1" applyFill="1" applyBorder="1" applyAlignment="1">
      <alignment horizontal="center" vertical="center"/>
    </xf>
    <xf numFmtId="9" fontId="28" fillId="38" borderId="10" xfId="3" applyFont="1" applyFill="1" applyBorder="1" applyAlignment="1">
      <alignment horizontal="center" vertical="center"/>
    </xf>
    <xf numFmtId="166" fontId="10" fillId="35" borderId="11" xfId="19" applyNumberFormat="1" applyFont="1" applyFill="1" applyBorder="1" applyAlignment="1">
      <alignment horizontal="center" wrapText="1"/>
    </xf>
    <xf numFmtId="9" fontId="28" fillId="38" borderId="132" xfId="3" applyFont="1" applyFill="1" applyBorder="1" applyAlignment="1">
      <alignment horizontal="center" vertical="center"/>
    </xf>
    <xf numFmtId="166" fontId="10" fillId="35" borderId="133" xfId="19" applyNumberFormat="1" applyFont="1" applyFill="1" applyBorder="1" applyAlignment="1">
      <alignment horizontal="center" wrapText="1"/>
    </xf>
    <xf numFmtId="9" fontId="28" fillId="40" borderId="132" xfId="3" applyFont="1" applyFill="1" applyBorder="1" applyAlignment="1">
      <alignment horizontal="center" vertical="center"/>
    </xf>
    <xf numFmtId="0" fontId="28" fillId="40" borderId="132" xfId="19" applyFont="1" applyFill="1" applyBorder="1" applyAlignment="1">
      <alignment horizontal="center" vertical="center"/>
    </xf>
    <xf numFmtId="9" fontId="28" fillId="41" borderId="132" xfId="3" applyFont="1" applyFill="1" applyBorder="1" applyAlignment="1">
      <alignment horizontal="center" vertical="center"/>
    </xf>
    <xf numFmtId="0" fontId="69" fillId="60" borderId="10" xfId="19" applyFont="1" applyFill="1" applyBorder="1" applyAlignment="1">
      <alignment horizontal="center" vertical="center" wrapText="1"/>
    </xf>
    <xf numFmtId="0" fontId="69" fillId="60" borderId="18" xfId="19" applyFont="1" applyFill="1" applyBorder="1" applyAlignment="1">
      <alignment horizontal="center" vertical="center" wrapText="1"/>
    </xf>
    <xf numFmtId="0" fontId="69" fillId="60" borderId="11" xfId="19" applyFont="1" applyFill="1" applyBorder="1" applyAlignment="1">
      <alignment horizontal="center" vertical="center" wrapText="1"/>
    </xf>
    <xf numFmtId="0" fontId="10" fillId="39" borderId="132" xfId="19" applyFont="1" applyFill="1" applyBorder="1" applyAlignment="1">
      <alignment horizontal="center" vertical="center" wrapText="1"/>
    </xf>
    <xf numFmtId="0" fontId="10" fillId="39" borderId="131" xfId="19" applyFont="1" applyFill="1" applyBorder="1" applyAlignment="1">
      <alignment horizontal="center" vertical="center" wrapText="1"/>
    </xf>
    <xf numFmtId="3" fontId="10" fillId="39" borderId="133" xfId="19" applyNumberFormat="1" applyFont="1" applyFill="1" applyBorder="1" applyAlignment="1">
      <alignment horizontal="center" vertical="center" wrapText="1"/>
    </xf>
    <xf numFmtId="3" fontId="17" fillId="35" borderId="0" xfId="19" applyNumberFormat="1" applyFont="1" applyFill="1" applyBorder="1"/>
    <xf numFmtId="3" fontId="10" fillId="68" borderId="78" xfId="19" applyNumberFormat="1" applyFont="1" applyFill="1" applyBorder="1" applyAlignment="1">
      <alignment horizontal="center" vertical="center" wrapText="1"/>
    </xf>
    <xf numFmtId="3" fontId="10" fillId="68" borderId="105" xfId="19" applyNumberFormat="1" applyFont="1" applyFill="1" applyBorder="1" applyAlignment="1">
      <alignment horizontal="center" vertical="center" wrapText="1"/>
    </xf>
    <xf numFmtId="3" fontId="10" fillId="68" borderId="99" xfId="15" applyNumberFormat="1" applyFont="1" applyFill="1" applyBorder="1" applyAlignment="1">
      <alignment horizontal="center" vertical="center" wrapText="1"/>
    </xf>
    <xf numFmtId="3" fontId="10" fillId="68" borderId="80" xfId="19" applyNumberFormat="1" applyFont="1" applyFill="1" applyBorder="1" applyAlignment="1">
      <alignment horizontal="center" vertical="center" wrapText="1"/>
    </xf>
    <xf numFmtId="3" fontId="10" fillId="71" borderId="18" xfId="19" applyNumberFormat="1" applyFont="1" applyFill="1" applyBorder="1" applyAlignment="1">
      <alignment horizontal="center" wrapText="1"/>
    </xf>
    <xf numFmtId="3" fontId="10" fillId="68" borderId="18" xfId="15" applyNumberFormat="1" applyFont="1" applyFill="1" applyBorder="1" applyAlignment="1">
      <alignment horizontal="center" vertical="center" wrapText="1"/>
    </xf>
    <xf numFmtId="3" fontId="10" fillId="71" borderId="131" xfId="19" applyNumberFormat="1" applyFont="1" applyFill="1" applyBorder="1" applyAlignment="1">
      <alignment horizontal="center" wrapText="1"/>
    </xf>
    <xf numFmtId="3" fontId="10" fillId="71" borderId="58" xfId="19" applyNumberFormat="1" applyFont="1" applyFill="1" applyBorder="1" applyAlignment="1">
      <alignment horizontal="center" vertical="center" wrapText="1"/>
    </xf>
    <xf numFmtId="3" fontId="10" fillId="71" borderId="99" xfId="19" applyNumberFormat="1" applyFont="1" applyFill="1" applyBorder="1" applyAlignment="1">
      <alignment horizontal="center" wrapText="1"/>
    </xf>
    <xf numFmtId="0" fontId="10" fillId="39" borderId="86" xfId="19" applyFont="1" applyFill="1" applyBorder="1" applyAlignment="1">
      <alignment horizontal="center" vertical="center"/>
    </xf>
    <xf numFmtId="3" fontId="10" fillId="39" borderId="18" xfId="19" applyNumberFormat="1" applyFont="1" applyFill="1" applyBorder="1" applyAlignment="1">
      <alignment horizontal="center" vertical="center" wrapText="1"/>
    </xf>
    <xf numFmtId="166" fontId="10" fillId="39" borderId="11" xfId="19" applyNumberFormat="1" applyFont="1" applyFill="1" applyBorder="1" applyAlignment="1">
      <alignment horizontal="center" vertical="center" wrapText="1"/>
    </xf>
    <xf numFmtId="0" fontId="10" fillId="39" borderId="136" xfId="19" applyFont="1" applyFill="1" applyBorder="1" applyAlignment="1">
      <alignment horizontal="center" vertical="center"/>
    </xf>
    <xf numFmtId="3" fontId="10" fillId="39" borderId="6" xfId="19" applyNumberFormat="1" applyFont="1" applyFill="1" applyBorder="1" applyAlignment="1">
      <alignment horizontal="center" vertical="center" wrapText="1"/>
    </xf>
    <xf numFmtId="166" fontId="10" fillId="39" borderId="20" xfId="19" applyNumberFormat="1" applyFont="1" applyFill="1" applyBorder="1" applyAlignment="1">
      <alignment horizontal="center" vertical="center" wrapText="1"/>
    </xf>
    <xf numFmtId="0" fontId="10" fillId="39" borderId="102" xfId="19" applyFont="1" applyFill="1" applyBorder="1" applyAlignment="1">
      <alignment horizontal="center" vertical="center"/>
    </xf>
    <xf numFmtId="3" fontId="10" fillId="39" borderId="62" xfId="19" applyNumberFormat="1" applyFont="1" applyFill="1" applyBorder="1" applyAlignment="1">
      <alignment horizontal="center" vertical="center" wrapText="1"/>
    </xf>
    <xf numFmtId="166" fontId="10" fillId="39" borderId="68" xfId="19" applyNumberFormat="1" applyFont="1" applyFill="1" applyBorder="1" applyAlignment="1">
      <alignment horizontal="center" vertical="center" wrapText="1"/>
    </xf>
    <xf numFmtId="3" fontId="10" fillId="39" borderId="55" xfId="19" applyNumberFormat="1" applyFont="1" applyFill="1" applyBorder="1" applyAlignment="1">
      <alignment horizontal="center" vertical="center" wrapText="1"/>
    </xf>
    <xf numFmtId="166" fontId="10" fillId="39" borderId="57" xfId="19" applyNumberFormat="1" applyFont="1" applyFill="1" applyBorder="1" applyAlignment="1">
      <alignment horizontal="center" vertical="center" wrapText="1"/>
    </xf>
    <xf numFmtId="0" fontId="10" fillId="39" borderId="139" xfId="19" applyFont="1" applyFill="1" applyBorder="1" applyAlignment="1">
      <alignment horizontal="center" vertical="center"/>
    </xf>
    <xf numFmtId="3" fontId="10" fillId="39" borderId="58" xfId="19" applyNumberFormat="1" applyFont="1" applyFill="1" applyBorder="1" applyAlignment="1">
      <alignment horizontal="center" vertical="center" wrapText="1"/>
    </xf>
    <xf numFmtId="166" fontId="10" fillId="39" borderId="59" xfId="19" applyNumberFormat="1" applyFont="1" applyFill="1" applyBorder="1" applyAlignment="1">
      <alignment horizontal="center" vertical="center" wrapText="1"/>
    </xf>
    <xf numFmtId="0" fontId="10" fillId="39" borderId="86" xfId="19" applyFont="1" applyFill="1" applyBorder="1" applyAlignment="1">
      <alignment horizontal="center" vertical="center" wrapText="1"/>
    </xf>
    <xf numFmtId="0" fontId="10" fillId="39" borderId="136" xfId="19" applyFont="1" applyFill="1" applyBorder="1" applyAlignment="1">
      <alignment horizontal="center" vertical="center" wrapText="1"/>
    </xf>
    <xf numFmtId="3" fontId="10" fillId="39" borderId="131" xfId="19" applyNumberFormat="1" applyFont="1" applyFill="1" applyBorder="1" applyAlignment="1">
      <alignment horizontal="center" vertical="center" wrapText="1"/>
    </xf>
    <xf numFmtId="0" fontId="10" fillId="39" borderId="139" xfId="19" applyFont="1" applyFill="1" applyBorder="1" applyAlignment="1">
      <alignment horizontal="center" vertical="center" wrapText="1"/>
    </xf>
    <xf numFmtId="166" fontId="10" fillId="39" borderId="13" xfId="19" applyNumberFormat="1" applyFont="1" applyFill="1" applyBorder="1" applyAlignment="1">
      <alignment horizontal="center" vertical="center" wrapText="1"/>
    </xf>
    <xf numFmtId="9" fontId="28" fillId="41" borderId="12" xfId="3" applyFont="1" applyFill="1" applyBorder="1" applyAlignment="1">
      <alignment horizontal="center" vertical="center"/>
    </xf>
    <xf numFmtId="166" fontId="10" fillId="35" borderId="59" xfId="19" applyNumberFormat="1" applyFont="1" applyFill="1" applyBorder="1" applyAlignment="1">
      <alignment horizontal="center" wrapText="1"/>
    </xf>
    <xf numFmtId="3" fontId="13" fillId="0" borderId="12" xfId="0" applyNumberFormat="1" applyFont="1" applyFill="1" applyBorder="1" applyAlignment="1">
      <alignment horizontal="center" vertical="center"/>
    </xf>
    <xf numFmtId="3" fontId="13" fillId="0" borderId="59" xfId="0" applyNumberFormat="1" applyFont="1" applyFill="1" applyBorder="1" applyAlignment="1">
      <alignment horizontal="center" vertical="center"/>
    </xf>
    <xf numFmtId="3" fontId="13" fillId="0" borderId="139" xfId="0" applyNumberFormat="1" applyFont="1" applyFill="1" applyBorder="1" applyAlignment="1">
      <alignment horizontal="center" vertical="center"/>
    </xf>
    <xf numFmtId="170" fontId="13" fillId="0" borderId="139" xfId="0" applyNumberFormat="1" applyFont="1" applyFill="1" applyBorder="1" applyAlignment="1">
      <alignment horizontal="center" vertical="center"/>
    </xf>
    <xf numFmtId="3" fontId="13" fillId="0" borderId="135" xfId="0" applyNumberFormat="1" applyFont="1" applyFill="1" applyBorder="1" applyAlignment="1">
      <alignment horizontal="center" vertical="center"/>
    </xf>
    <xf numFmtId="3" fontId="13" fillId="0" borderId="28" xfId="0" applyNumberFormat="1" applyFont="1" applyFill="1" applyBorder="1" applyAlignment="1">
      <alignment horizontal="center" vertical="center"/>
    </xf>
    <xf numFmtId="3" fontId="0" fillId="0" borderId="79" xfId="0" applyNumberFormat="1" applyFill="1" applyBorder="1" applyAlignment="1">
      <alignment horizontal="center" vertical="center"/>
    </xf>
    <xf numFmtId="3" fontId="10" fillId="39" borderId="99" xfId="0" applyNumberFormat="1" applyFont="1" applyFill="1" applyBorder="1" applyAlignment="1">
      <alignment horizontal="center" vertical="center" wrapText="1"/>
    </xf>
    <xf numFmtId="3" fontId="10" fillId="39" borderId="78" xfId="0" applyNumberFormat="1" applyFont="1" applyFill="1" applyBorder="1" applyAlignment="1">
      <alignment horizontal="center" vertical="center" wrapText="1"/>
    </xf>
    <xf numFmtId="9" fontId="10" fillId="39" borderId="146" xfId="0" applyNumberFormat="1" applyFont="1" applyFill="1" applyBorder="1" applyAlignment="1">
      <alignment horizontal="center" vertical="center" wrapText="1"/>
    </xf>
    <xf numFmtId="0" fontId="10" fillId="39" borderId="98" xfId="0" applyNumberFormat="1" applyFont="1" applyFill="1" applyBorder="1" applyAlignment="1">
      <alignment horizontal="center" vertical="center" wrapText="1"/>
    </xf>
    <xf numFmtId="3" fontId="10" fillId="39" borderId="80" xfId="0" applyNumberFormat="1" applyFont="1" applyFill="1" applyBorder="1" applyAlignment="1">
      <alignment horizontal="center" vertical="center" wrapText="1"/>
    </xf>
    <xf numFmtId="9" fontId="10" fillId="39" borderId="147" xfId="0" applyNumberFormat="1" applyFont="1" applyFill="1" applyBorder="1" applyAlignment="1">
      <alignment horizontal="center" vertical="center" wrapText="1"/>
    </xf>
    <xf numFmtId="3" fontId="50" fillId="39" borderId="91" xfId="0" applyNumberFormat="1" applyFont="1" applyFill="1" applyBorder="1" applyAlignment="1">
      <alignment horizontal="center" vertical="center"/>
    </xf>
    <xf numFmtId="9" fontId="10" fillId="39" borderId="145" xfId="0" applyNumberFormat="1" applyFont="1" applyFill="1" applyBorder="1" applyAlignment="1">
      <alignment horizontal="center" vertical="center" wrapText="1"/>
    </xf>
    <xf numFmtId="3" fontId="50" fillId="39" borderId="78" xfId="0" applyNumberFormat="1" applyFont="1" applyFill="1" applyBorder="1" applyAlignment="1">
      <alignment horizontal="center" vertical="center"/>
    </xf>
    <xf numFmtId="0" fontId="10" fillId="39" borderId="116" xfId="0" applyNumberFormat="1" applyFont="1" applyFill="1" applyBorder="1" applyAlignment="1">
      <alignment horizontal="center" vertical="center" wrapText="1"/>
    </xf>
    <xf numFmtId="3" fontId="50" fillId="39" borderId="97" xfId="0" applyNumberFormat="1" applyFont="1" applyFill="1" applyBorder="1" applyAlignment="1">
      <alignment horizontal="center" vertical="center"/>
    </xf>
    <xf numFmtId="9" fontId="10" fillId="39" borderId="148" xfId="0" applyNumberFormat="1" applyFont="1" applyFill="1" applyBorder="1" applyAlignment="1">
      <alignment horizontal="center" vertical="center" wrapText="1"/>
    </xf>
    <xf numFmtId="3" fontId="88" fillId="39" borderId="91" xfId="0" applyNumberFormat="1" applyFont="1" applyFill="1" applyBorder="1" applyAlignment="1">
      <alignment horizontal="center" vertical="center"/>
    </xf>
    <xf numFmtId="3" fontId="88" fillId="39" borderId="92" xfId="0" applyNumberFormat="1" applyFont="1" applyFill="1" applyBorder="1" applyAlignment="1">
      <alignment horizontal="center" vertical="center"/>
    </xf>
    <xf numFmtId="3" fontId="88" fillId="39" borderId="78" xfId="0" applyNumberFormat="1" applyFont="1" applyFill="1" applyBorder="1" applyAlignment="1">
      <alignment horizontal="center" vertical="center"/>
    </xf>
    <xf numFmtId="3" fontId="88" fillId="39" borderId="79" xfId="0" applyNumberFormat="1" applyFont="1" applyFill="1" applyBorder="1" applyAlignment="1">
      <alignment horizontal="center" vertical="center"/>
    </xf>
    <xf numFmtId="3" fontId="88" fillId="39" borderId="105" xfId="0" applyNumberFormat="1" applyFont="1" applyFill="1" applyBorder="1" applyAlignment="1">
      <alignment horizontal="center" vertical="center"/>
    </xf>
    <xf numFmtId="3" fontId="88" fillId="39" borderId="107" xfId="0" applyNumberFormat="1" applyFont="1" applyFill="1" applyBorder="1" applyAlignment="1">
      <alignment horizontal="center" vertical="center"/>
    </xf>
    <xf numFmtId="9" fontId="50" fillId="39" borderId="92" xfId="0" applyNumberFormat="1" applyFont="1" applyFill="1" applyBorder="1" applyAlignment="1">
      <alignment horizontal="center" vertical="center"/>
    </xf>
    <xf numFmtId="9" fontId="10" fillId="39" borderId="107" xfId="0" applyNumberFormat="1" applyFont="1" applyFill="1" applyBorder="1" applyAlignment="1">
      <alignment horizontal="center" vertical="center" wrapText="1"/>
    </xf>
    <xf numFmtId="9" fontId="28" fillId="39" borderId="107" xfId="0" applyNumberFormat="1" applyFont="1" applyFill="1" applyBorder="1" applyAlignment="1">
      <alignment horizontal="center" vertical="center" wrapText="1"/>
    </xf>
    <xf numFmtId="9" fontId="28" fillId="39" borderId="92" xfId="0" applyNumberFormat="1" applyFont="1" applyFill="1" applyBorder="1" applyAlignment="1">
      <alignment horizontal="center" vertical="center" wrapText="1"/>
    </xf>
    <xf numFmtId="166" fontId="10" fillId="39" borderId="133" xfId="0" applyNumberFormat="1" applyFont="1" applyFill="1" applyBorder="1" applyAlignment="1">
      <alignment horizontal="center" vertical="center"/>
    </xf>
    <xf numFmtId="166" fontId="10" fillId="39" borderId="59" xfId="0" applyNumberFormat="1" applyFont="1" applyFill="1" applyBorder="1" applyAlignment="1">
      <alignment horizontal="center" vertical="center"/>
    </xf>
    <xf numFmtId="3" fontId="10" fillId="4" borderId="55" xfId="0" applyNumberFormat="1" applyFont="1" applyFill="1" applyBorder="1" applyAlignment="1">
      <alignment horizontal="center" vertical="center"/>
    </xf>
    <xf numFmtId="3" fontId="10" fillId="59" borderId="55" xfId="0" applyNumberFormat="1" applyFont="1" applyFill="1" applyBorder="1" applyAlignment="1">
      <alignment horizontal="center" vertical="center"/>
    </xf>
    <xf numFmtId="4" fontId="10" fillId="0" borderId="60" xfId="0" applyNumberFormat="1" applyFont="1" applyFill="1" applyBorder="1" applyAlignment="1">
      <alignment horizontal="center" vertical="center"/>
    </xf>
    <xf numFmtId="3" fontId="10" fillId="0" borderId="60" xfId="0" applyNumberFormat="1" applyFont="1" applyFill="1" applyBorder="1" applyAlignment="1">
      <alignment horizontal="center" vertical="center"/>
    </xf>
    <xf numFmtId="3" fontId="10" fillId="59" borderId="27" xfId="0" applyNumberFormat="1" applyFont="1" applyFill="1" applyBorder="1" applyAlignment="1">
      <alignment horizontal="center" vertical="center"/>
    </xf>
    <xf numFmtId="3" fontId="10" fillId="0" borderId="27" xfId="0" applyNumberFormat="1" applyFont="1" applyFill="1" applyBorder="1" applyAlignment="1">
      <alignment horizontal="center" vertical="center"/>
    </xf>
    <xf numFmtId="4" fontId="10" fillId="0" borderId="127" xfId="0" applyNumberFormat="1" applyFont="1" applyFill="1" applyBorder="1" applyAlignment="1">
      <alignment horizontal="center" vertical="center"/>
    </xf>
    <xf numFmtId="3" fontId="10" fillId="0" borderId="127" xfId="0" applyNumberFormat="1" applyFont="1" applyFill="1" applyBorder="1" applyAlignment="1">
      <alignment horizontal="center" vertical="center"/>
    </xf>
    <xf numFmtId="4" fontId="10" fillId="0" borderId="45" xfId="0" applyNumberFormat="1" applyFont="1" applyFill="1" applyBorder="1" applyAlignment="1">
      <alignment horizontal="center" vertical="center"/>
    </xf>
    <xf numFmtId="3" fontId="10" fillId="59" borderId="74" xfId="0" applyNumberFormat="1" applyFont="1" applyFill="1" applyBorder="1" applyAlignment="1">
      <alignment horizontal="center" vertical="center"/>
    </xf>
    <xf numFmtId="3" fontId="10" fillId="0" borderId="85" xfId="0" applyNumberFormat="1" applyFont="1" applyFill="1" applyBorder="1" applyAlignment="1">
      <alignment horizontal="center" vertical="center"/>
    </xf>
    <xf numFmtId="4" fontId="10" fillId="0" borderId="61" xfId="0" applyNumberFormat="1" applyFont="1" applyFill="1" applyBorder="1" applyAlignment="1">
      <alignment horizontal="center" vertical="center"/>
    </xf>
    <xf numFmtId="3" fontId="10" fillId="0" borderId="61" xfId="0" applyNumberFormat="1" applyFont="1" applyFill="1" applyBorder="1" applyAlignment="1">
      <alignment horizontal="center" vertical="center"/>
    </xf>
    <xf numFmtId="4" fontId="10" fillId="0" borderId="59" xfId="0" applyNumberFormat="1" applyFont="1" applyFill="1" applyBorder="1" applyAlignment="1">
      <alignment horizontal="center" vertical="center"/>
    </xf>
    <xf numFmtId="4" fontId="13" fillId="0" borderId="21" xfId="0" applyNumberFormat="1" applyFont="1" applyBorder="1" applyAlignment="1">
      <alignment horizontal="center" vertical="center" wrapText="1"/>
    </xf>
    <xf numFmtId="3" fontId="13" fillId="0" borderId="21" xfId="0" applyNumberFormat="1" applyFont="1" applyBorder="1" applyAlignment="1">
      <alignment horizontal="center" vertical="center" wrapText="1"/>
    </xf>
    <xf numFmtId="4" fontId="13" fillId="0" borderId="5" xfId="0" applyNumberFormat="1" applyFont="1" applyBorder="1" applyAlignment="1">
      <alignment horizontal="center" vertical="center" wrapText="1"/>
    </xf>
    <xf numFmtId="170" fontId="10" fillId="37" borderId="58" xfId="15" applyNumberFormat="1" applyFont="1" applyFill="1" applyBorder="1" applyAlignment="1">
      <alignment horizontal="center" vertical="center" wrapText="1"/>
    </xf>
    <xf numFmtId="3" fontId="17" fillId="35" borderId="0" xfId="19" applyNumberFormat="1" applyFont="1" applyFill="1" applyBorder="1" applyAlignment="1">
      <alignment wrapText="1"/>
    </xf>
    <xf numFmtId="170" fontId="17" fillId="35" borderId="0" xfId="19" applyNumberFormat="1" applyFont="1" applyFill="1" applyBorder="1" applyAlignment="1">
      <alignment wrapText="1"/>
    </xf>
    <xf numFmtId="182" fontId="10" fillId="0" borderId="95" xfId="0" applyNumberFormat="1" applyFont="1" applyFill="1" applyBorder="1" applyAlignment="1">
      <alignment horizontal="center" vertical="center"/>
    </xf>
    <xf numFmtId="171" fontId="10" fillId="35" borderId="0" xfId="19" applyNumberFormat="1" applyFont="1" applyFill="1" applyBorder="1" applyAlignment="1">
      <alignment horizontal="center" wrapText="1"/>
    </xf>
    <xf numFmtId="4" fontId="0" fillId="4" borderId="0" xfId="0" applyNumberFormat="1" applyFill="1"/>
    <xf numFmtId="170" fontId="13" fillId="0" borderId="58" xfId="0" applyNumberFormat="1" applyFont="1" applyFill="1" applyBorder="1" applyAlignment="1">
      <alignment horizontal="center" vertical="center"/>
    </xf>
    <xf numFmtId="0" fontId="69" fillId="60" borderId="4" xfId="19" applyFont="1" applyFill="1" applyBorder="1" applyAlignment="1">
      <alignment horizontal="center" vertical="center" wrapText="1"/>
    </xf>
    <xf numFmtId="0" fontId="69" fillId="60" borderId="21" xfId="19" applyFont="1" applyFill="1" applyBorder="1" applyAlignment="1">
      <alignment horizontal="center" vertical="center" wrapText="1"/>
    </xf>
    <xf numFmtId="0" fontId="69" fillId="61" borderId="10" xfId="0" applyFont="1" applyFill="1" applyBorder="1" applyAlignment="1">
      <alignment horizontal="center" vertical="center" wrapText="1"/>
    </xf>
    <xf numFmtId="0" fontId="10" fillId="36" borderId="4" xfId="0" applyFont="1" applyFill="1" applyBorder="1" applyAlignment="1">
      <alignment horizontal="center" vertical="center"/>
    </xf>
    <xf numFmtId="0" fontId="13" fillId="4" borderId="84" xfId="0" applyNumberFormat="1" applyFont="1" applyFill="1" applyBorder="1" applyAlignment="1">
      <alignment horizontal="left" vertical="top" wrapText="1"/>
    </xf>
    <xf numFmtId="0" fontId="13" fillId="0" borderId="12" xfId="0" applyFont="1" applyBorder="1" applyAlignment="1">
      <alignment horizontal="left" vertical="top"/>
    </xf>
    <xf numFmtId="9" fontId="0" fillId="72" borderId="5" xfId="0" applyNumberFormat="1" applyFill="1" applyBorder="1" applyAlignment="1">
      <alignment horizontal="center" vertical="center"/>
    </xf>
    <xf numFmtId="0" fontId="18" fillId="4" borderId="155" xfId="2" applyFill="1" applyBorder="1" applyAlignment="1" applyProtection="1">
      <alignment horizontal="center" vertical="center" wrapText="1"/>
    </xf>
    <xf numFmtId="170" fontId="10" fillId="0" borderId="132" xfId="0" applyNumberFormat="1" applyFont="1" applyFill="1" applyBorder="1" applyAlignment="1">
      <alignment horizontal="center" vertical="center"/>
    </xf>
    <xf numFmtId="4" fontId="11" fillId="4" borderId="133" xfId="0" applyNumberFormat="1" applyFont="1" applyFill="1" applyBorder="1" applyAlignment="1">
      <alignment horizontal="center" vertical="center"/>
    </xf>
    <xf numFmtId="170" fontId="10" fillId="0" borderId="84" xfId="0" applyNumberFormat="1" applyFont="1" applyFill="1" applyBorder="1" applyAlignment="1">
      <alignment horizontal="center" vertical="center"/>
    </xf>
    <xf numFmtId="164" fontId="10" fillId="4" borderId="0" xfId="1" applyNumberFormat="1" applyFont="1" applyFill="1" applyBorder="1"/>
    <xf numFmtId="3" fontId="11" fillId="42" borderId="133" xfId="0" applyNumberFormat="1" applyFont="1" applyFill="1" applyBorder="1" applyAlignment="1">
      <alignment horizontal="center" vertical="center"/>
    </xf>
    <xf numFmtId="9" fontId="11" fillId="42" borderId="133" xfId="0" applyNumberFormat="1" applyFont="1" applyFill="1" applyBorder="1" applyAlignment="1">
      <alignment horizontal="center" vertical="center"/>
    </xf>
    <xf numFmtId="3" fontId="11" fillId="0" borderId="59" xfId="0" applyNumberFormat="1" applyFont="1" applyFill="1" applyBorder="1" applyAlignment="1">
      <alignment horizontal="center" vertical="center"/>
    </xf>
    <xf numFmtId="3" fontId="11" fillId="0" borderId="68" xfId="0" applyNumberFormat="1" applyFont="1" applyFill="1" applyBorder="1" applyAlignment="1">
      <alignment horizontal="center" vertical="center"/>
    </xf>
    <xf numFmtId="4" fontId="13" fillId="4" borderId="59" xfId="0" applyNumberFormat="1" applyFont="1" applyFill="1" applyBorder="1" applyAlignment="1">
      <alignment horizontal="center" vertical="center"/>
    </xf>
    <xf numFmtId="9" fontId="28" fillId="62" borderId="9" xfId="3" applyNumberFormat="1" applyFont="1" applyFill="1" applyBorder="1" applyAlignment="1">
      <alignment horizontal="center" vertical="center"/>
    </xf>
    <xf numFmtId="3" fontId="28" fillId="40" borderId="131" xfId="3" applyNumberFormat="1" applyFont="1" applyFill="1" applyBorder="1" applyAlignment="1">
      <alignment horizontal="center" vertical="center"/>
    </xf>
    <xf numFmtId="9" fontId="28" fillId="40" borderId="133" xfId="3" applyNumberFormat="1" applyFont="1" applyFill="1" applyBorder="1" applyAlignment="1">
      <alignment horizontal="center" vertical="center"/>
    </xf>
    <xf numFmtId="3" fontId="28" fillId="41" borderId="131" xfId="3" applyNumberFormat="1" applyFont="1" applyFill="1" applyBorder="1" applyAlignment="1">
      <alignment horizontal="center" vertical="center"/>
    </xf>
    <xf numFmtId="9" fontId="28" fillId="41" borderId="133" xfId="3" applyNumberFormat="1" applyFont="1" applyFill="1" applyBorder="1" applyAlignment="1">
      <alignment horizontal="center" vertical="center"/>
    </xf>
    <xf numFmtId="9" fontId="45" fillId="35" borderId="59" xfId="3" applyNumberFormat="1" applyFont="1" applyFill="1" applyBorder="1" applyAlignment="1">
      <alignment horizontal="center" vertical="center"/>
    </xf>
    <xf numFmtId="9" fontId="28" fillId="39" borderId="156" xfId="3" applyNumberFormat="1" applyFont="1" applyFill="1" applyBorder="1" applyAlignment="1">
      <alignment horizontal="center" vertical="center"/>
    </xf>
    <xf numFmtId="9" fontId="28" fillId="39" borderId="146" xfId="3" applyNumberFormat="1" applyFont="1" applyFill="1" applyBorder="1" applyAlignment="1">
      <alignment horizontal="center" vertical="center"/>
    </xf>
    <xf numFmtId="9" fontId="28" fillId="40" borderId="145" xfId="3" applyNumberFormat="1" applyFont="1" applyFill="1" applyBorder="1" applyAlignment="1">
      <alignment horizontal="center" vertical="center"/>
    </xf>
    <xf numFmtId="9" fontId="28" fillId="40" borderId="147" xfId="3" applyNumberFormat="1" applyFont="1" applyFill="1" applyBorder="1" applyAlignment="1">
      <alignment horizontal="center" vertical="center"/>
    </xf>
    <xf numFmtId="9" fontId="28" fillId="41" borderId="145" xfId="3" applyNumberFormat="1" applyFont="1" applyFill="1" applyBorder="1" applyAlignment="1">
      <alignment horizontal="center" vertical="center"/>
    </xf>
    <xf numFmtId="9" fontId="28" fillId="41" borderId="149" xfId="3" applyNumberFormat="1" applyFont="1" applyFill="1" applyBorder="1" applyAlignment="1">
      <alignment horizontal="center" vertical="center"/>
    </xf>
    <xf numFmtId="9" fontId="28" fillId="41" borderId="146" xfId="3" applyNumberFormat="1" applyFont="1" applyFill="1" applyBorder="1" applyAlignment="1">
      <alignment horizontal="center" vertical="center"/>
    </xf>
    <xf numFmtId="9" fontId="28" fillId="41" borderId="147" xfId="3" applyNumberFormat="1" applyFont="1" applyFill="1" applyBorder="1" applyAlignment="1">
      <alignment horizontal="center" vertical="center"/>
    </xf>
    <xf numFmtId="9" fontId="45" fillId="35" borderId="138" xfId="3" applyNumberFormat="1" applyFont="1" applyFill="1" applyBorder="1" applyAlignment="1">
      <alignment horizontal="center" vertical="center"/>
    </xf>
    <xf numFmtId="0" fontId="69" fillId="61" borderId="18" xfId="0" applyFont="1" applyFill="1" applyBorder="1" applyAlignment="1">
      <alignment horizontal="center" vertical="center" wrapText="1"/>
    </xf>
    <xf numFmtId="0" fontId="69" fillId="61" borderId="25" xfId="0" applyFont="1" applyFill="1" applyBorder="1" applyAlignment="1">
      <alignment horizontal="center" vertical="center" wrapText="1"/>
    </xf>
    <xf numFmtId="0" fontId="10" fillId="4" borderId="0" xfId="0" applyNumberFormat="1" applyFont="1" applyFill="1" applyBorder="1" applyAlignment="1">
      <alignment horizontal="left" vertical="top" wrapText="1"/>
    </xf>
    <xf numFmtId="0" fontId="69" fillId="61" borderId="157" xfId="0" applyFont="1" applyFill="1" applyBorder="1" applyAlignment="1">
      <alignment horizontal="center" vertical="center" wrapText="1"/>
    </xf>
    <xf numFmtId="3" fontId="13" fillId="4" borderId="138" xfId="0" applyNumberFormat="1" applyFont="1" applyFill="1" applyBorder="1" applyAlignment="1">
      <alignment horizontal="center" vertical="center" wrapText="1"/>
    </xf>
    <xf numFmtId="3" fontId="28" fillId="0" borderId="79" xfId="0" applyNumberFormat="1" applyFont="1" applyFill="1" applyBorder="1" applyAlignment="1">
      <alignment horizontal="center" vertical="center"/>
    </xf>
    <xf numFmtId="0" fontId="10" fillId="0" borderId="0" xfId="0" applyFont="1"/>
    <xf numFmtId="0" fontId="69" fillId="73" borderId="21" xfId="19" applyFont="1" applyFill="1" applyBorder="1" applyAlignment="1">
      <alignment horizontal="center" vertical="center" wrapText="1"/>
    </xf>
    <xf numFmtId="0" fontId="69" fillId="73" borderId="5" xfId="19" applyFont="1" applyFill="1" applyBorder="1" applyAlignment="1">
      <alignment horizontal="center" vertical="center" wrapText="1"/>
    </xf>
    <xf numFmtId="0" fontId="13" fillId="4" borderId="0" xfId="0" applyNumberFormat="1" applyFont="1" applyFill="1" applyBorder="1" applyAlignment="1">
      <alignment horizontal="center" vertical="center" wrapText="1"/>
    </xf>
    <xf numFmtId="3" fontId="13" fillId="4" borderId="0" xfId="0" applyNumberFormat="1" applyFont="1" applyFill="1" applyBorder="1" applyAlignment="1">
      <alignment horizontal="center" vertical="center" wrapText="1"/>
    </xf>
    <xf numFmtId="0" fontId="69" fillId="74" borderId="10" xfId="0" applyFont="1" applyFill="1" applyBorder="1" applyAlignment="1">
      <alignment horizontal="center" vertical="center" wrapText="1"/>
    </xf>
    <xf numFmtId="0" fontId="69" fillId="74" borderId="18" xfId="0" applyFont="1" applyFill="1" applyBorder="1" applyAlignment="1">
      <alignment horizontal="center" vertical="center" wrapText="1"/>
    </xf>
    <xf numFmtId="0" fontId="69" fillId="74" borderId="11" xfId="0" applyFont="1" applyFill="1" applyBorder="1" applyAlignment="1">
      <alignment horizontal="center" vertical="center" wrapText="1"/>
    </xf>
    <xf numFmtId="0" fontId="18" fillId="0" borderId="0" xfId="2" applyAlignment="1" applyProtection="1"/>
    <xf numFmtId="4" fontId="69" fillId="74" borderId="10" xfId="0" applyNumberFormat="1" applyFont="1" applyFill="1" applyBorder="1" applyAlignment="1">
      <alignment horizontal="center" vertical="center" wrapText="1"/>
    </xf>
    <xf numFmtId="3" fontId="69" fillId="74" borderId="18" xfId="0" applyNumberFormat="1" applyFont="1" applyFill="1" applyBorder="1" applyAlignment="1">
      <alignment horizontal="center" vertical="center" wrapText="1"/>
    </xf>
    <xf numFmtId="3" fontId="69" fillId="74" borderId="11" xfId="0" applyNumberFormat="1" applyFont="1" applyFill="1" applyBorder="1" applyAlignment="1">
      <alignment horizontal="center" vertical="center" wrapText="1"/>
    </xf>
    <xf numFmtId="3" fontId="50" fillId="39" borderId="131" xfId="0" applyNumberFormat="1" applyFont="1" applyFill="1" applyBorder="1" applyAlignment="1">
      <alignment horizontal="center" vertical="center"/>
    </xf>
    <xf numFmtId="3" fontId="50" fillId="39" borderId="133" xfId="0" applyNumberFormat="1" applyFont="1" applyFill="1" applyBorder="1" applyAlignment="1">
      <alignment horizontal="center" vertical="center"/>
    </xf>
    <xf numFmtId="3" fontId="28" fillId="39" borderId="78" xfId="0" applyNumberFormat="1" applyFont="1" applyFill="1" applyBorder="1" applyAlignment="1">
      <alignment horizontal="center" vertical="center"/>
    </xf>
    <xf numFmtId="3" fontId="28" fillId="39" borderId="105" xfId="0" applyNumberFormat="1" applyFont="1" applyFill="1" applyBorder="1" applyAlignment="1">
      <alignment horizontal="center" vertical="center"/>
    </xf>
    <xf numFmtId="3" fontId="28" fillId="75" borderId="55" xfId="3" applyNumberFormat="1" applyFont="1" applyFill="1" applyBorder="1" applyAlignment="1">
      <alignment horizontal="center" vertical="center"/>
    </xf>
    <xf numFmtId="3" fontId="28" fillId="75" borderId="57" xfId="3" applyNumberFormat="1" applyFont="1" applyFill="1" applyBorder="1" applyAlignment="1">
      <alignment horizontal="center" vertical="center"/>
    </xf>
    <xf numFmtId="0" fontId="10" fillId="4" borderId="63" xfId="0" applyNumberFormat="1" applyFont="1" applyFill="1" applyBorder="1" applyAlignment="1">
      <alignment horizontal="center" vertical="center" wrapText="1"/>
    </xf>
    <xf numFmtId="0" fontId="69" fillId="61" borderId="46" xfId="110" applyFont="1" applyFill="1" applyBorder="1" applyAlignment="1">
      <alignment horizontal="center" vertical="center" wrapText="1"/>
    </xf>
    <xf numFmtId="3" fontId="10" fillId="39" borderId="131" xfId="0" applyNumberFormat="1" applyFont="1" applyFill="1" applyBorder="1" applyAlignment="1">
      <alignment horizontal="center" vertical="center" wrapText="1"/>
    </xf>
    <xf numFmtId="3" fontId="10" fillId="39" borderId="64" xfId="0" applyNumberFormat="1" applyFont="1" applyFill="1" applyBorder="1" applyAlignment="1">
      <alignment horizontal="center" vertical="center" wrapText="1"/>
    </xf>
    <xf numFmtId="3" fontId="10" fillId="65" borderId="65" xfId="0" applyNumberFormat="1" applyFont="1" applyFill="1" applyBorder="1" applyAlignment="1">
      <alignment horizontal="center" vertical="center" wrapText="1"/>
    </xf>
    <xf numFmtId="3" fontId="28" fillId="38" borderId="9" xfId="3" applyNumberFormat="1" applyFont="1" applyFill="1" applyBorder="1" applyAlignment="1">
      <alignment horizontal="center" vertical="center"/>
    </xf>
    <xf numFmtId="0" fontId="10" fillId="4" borderId="22" xfId="0" applyFont="1" applyFill="1" applyBorder="1" applyAlignment="1">
      <alignment vertical="top"/>
    </xf>
    <xf numFmtId="0" fontId="0" fillId="4" borderId="23" xfId="0" applyFill="1" applyBorder="1" applyAlignment="1">
      <alignment vertical="top"/>
    </xf>
    <xf numFmtId="0" fontId="10" fillId="4" borderId="3" xfId="0" applyFont="1" applyFill="1" applyBorder="1" applyAlignment="1">
      <alignment vertical="top"/>
    </xf>
    <xf numFmtId="0" fontId="0" fillId="4" borderId="0" xfId="0" applyFill="1" applyBorder="1" applyAlignment="1">
      <alignment vertical="top"/>
    </xf>
    <xf numFmtId="0" fontId="10" fillId="4" borderId="73" xfId="0" applyFont="1" applyFill="1" applyBorder="1" applyAlignment="1">
      <alignment vertical="top"/>
    </xf>
    <xf numFmtId="0" fontId="0" fillId="4" borderId="144" xfId="0" applyFill="1" applyBorder="1" applyAlignment="1">
      <alignment vertical="top"/>
    </xf>
    <xf numFmtId="0" fontId="0" fillId="4" borderId="72" xfId="0" applyFill="1" applyBorder="1" applyAlignment="1">
      <alignment vertical="top"/>
    </xf>
    <xf numFmtId="0" fontId="0" fillId="4" borderId="66" xfId="0" applyFill="1" applyBorder="1" applyAlignment="1">
      <alignment vertical="top"/>
    </xf>
    <xf numFmtId="0" fontId="13" fillId="4" borderId="0" xfId="0" applyFont="1" applyFill="1"/>
    <xf numFmtId="0" fontId="69" fillId="76" borderId="1" xfId="0" applyFont="1" applyFill="1" applyBorder="1" applyAlignment="1">
      <alignment vertical="top"/>
    </xf>
    <xf numFmtId="0" fontId="69" fillId="76" borderId="2" xfId="0" applyFont="1" applyFill="1" applyBorder="1" applyAlignment="1">
      <alignment vertical="top"/>
    </xf>
    <xf numFmtId="0" fontId="13" fillId="35" borderId="0" xfId="19" applyFont="1" applyFill="1" applyBorder="1" applyAlignment="1">
      <alignment horizontal="center" vertical="center"/>
    </xf>
    <xf numFmtId="3" fontId="45" fillId="35" borderId="0" xfId="3" applyNumberFormat="1" applyFont="1" applyFill="1" applyBorder="1" applyAlignment="1">
      <alignment horizontal="center" vertical="center"/>
    </xf>
    <xf numFmtId="9" fontId="45" fillId="35" borderId="0" xfId="3" applyNumberFormat="1" applyFont="1" applyFill="1" applyBorder="1" applyAlignment="1">
      <alignment horizontal="center" vertical="center"/>
    </xf>
    <xf numFmtId="0" fontId="18" fillId="0" borderId="26" xfId="2" applyBorder="1" applyAlignment="1" applyProtection="1">
      <alignment horizontal="center" vertical="center"/>
    </xf>
    <xf numFmtId="0" fontId="69" fillId="74" borderId="40" xfId="0" applyFont="1" applyFill="1" applyBorder="1" applyAlignment="1">
      <alignment horizontal="center" vertical="center" wrapText="1"/>
    </xf>
    <xf numFmtId="3" fontId="50" fillId="39" borderId="134" xfId="0" applyNumberFormat="1" applyFont="1" applyFill="1" applyBorder="1" applyAlignment="1">
      <alignment horizontal="center" vertical="center"/>
    </xf>
    <xf numFmtId="3" fontId="10" fillId="39" borderId="134" xfId="0" applyNumberFormat="1" applyFont="1" applyFill="1" applyBorder="1" applyAlignment="1">
      <alignment horizontal="center" vertical="center" wrapText="1"/>
    </xf>
    <xf numFmtId="3" fontId="10" fillId="65" borderId="113" xfId="0" applyNumberFormat="1" applyFont="1" applyFill="1" applyBorder="1" applyAlignment="1">
      <alignment horizontal="center" vertical="center" wrapText="1"/>
    </xf>
    <xf numFmtId="3" fontId="10" fillId="65" borderId="133" xfId="0" applyNumberFormat="1" applyFont="1" applyFill="1" applyBorder="1" applyAlignment="1">
      <alignment horizontal="center" vertical="center" wrapText="1"/>
    </xf>
    <xf numFmtId="0" fontId="0" fillId="0" borderId="0" xfId="0" applyFill="1" applyBorder="1" applyAlignment="1">
      <alignment wrapText="1"/>
    </xf>
    <xf numFmtId="3" fontId="69" fillId="0" borderId="0" xfId="0" applyNumberFormat="1" applyFont="1" applyFill="1" applyBorder="1" applyAlignment="1">
      <alignment horizontal="center" vertical="center" wrapText="1"/>
    </xf>
    <xf numFmtId="170" fontId="28" fillId="0" borderId="0" xfId="0" applyNumberFormat="1" applyFont="1" applyFill="1" applyBorder="1" applyAlignment="1">
      <alignment horizontal="center" vertical="center"/>
    </xf>
    <xf numFmtId="4" fontId="28" fillId="0" borderId="0" xfId="0" applyNumberFormat="1" applyFont="1" applyFill="1" applyBorder="1" applyAlignment="1">
      <alignment horizontal="center" vertical="center"/>
    </xf>
    <xf numFmtId="3" fontId="28" fillId="39" borderId="79" xfId="0" applyNumberFormat="1" applyFont="1" applyFill="1" applyBorder="1" applyAlignment="1">
      <alignment horizontal="center" vertical="center"/>
    </xf>
    <xf numFmtId="3" fontId="28" fillId="39" borderId="107" xfId="0" applyNumberFormat="1" applyFont="1" applyFill="1" applyBorder="1" applyAlignment="1">
      <alignment horizontal="center" vertical="center"/>
    </xf>
    <xf numFmtId="0" fontId="13" fillId="0" borderId="0" xfId="0" applyFont="1" applyAlignment="1">
      <alignment horizontal="center"/>
    </xf>
    <xf numFmtId="0" fontId="28" fillId="0" borderId="84" xfId="10" applyFont="1" applyBorder="1" applyAlignment="1">
      <alignment horizontal="center" vertical="center"/>
    </xf>
    <xf numFmtId="166" fontId="28" fillId="0" borderId="68" xfId="10" applyNumberFormat="1" applyFont="1" applyFill="1" applyBorder="1" applyAlignment="1">
      <alignment horizontal="center" vertical="center"/>
    </xf>
    <xf numFmtId="9" fontId="10" fillId="39" borderId="133" xfId="0" applyNumberFormat="1" applyFont="1" applyFill="1" applyBorder="1" applyAlignment="1">
      <alignment horizontal="center" vertical="center" wrapText="1"/>
    </xf>
    <xf numFmtId="9" fontId="10" fillId="39" borderId="59" xfId="0" applyNumberFormat="1" applyFont="1" applyFill="1" applyBorder="1" applyAlignment="1">
      <alignment horizontal="center" vertical="center" wrapText="1"/>
    </xf>
    <xf numFmtId="0" fontId="10" fillId="0" borderId="89" xfId="0" applyFont="1" applyBorder="1" applyAlignment="1">
      <alignment horizontal="center" vertical="center"/>
    </xf>
    <xf numFmtId="3" fontId="10" fillId="42" borderId="136" xfId="1" applyNumberFormat="1" applyFont="1" applyFill="1" applyBorder="1" applyAlignment="1">
      <alignment horizontal="center" vertical="center"/>
    </xf>
    <xf numFmtId="3" fontId="10" fillId="42" borderId="131" xfId="4" applyNumberFormat="1" applyFont="1" applyFill="1" applyBorder="1" applyAlignment="1">
      <alignment horizontal="center" vertical="center" wrapText="1"/>
    </xf>
    <xf numFmtId="3" fontId="10" fillId="42" borderId="137" xfId="4" applyNumberFormat="1" applyFont="1" applyFill="1" applyBorder="1" applyAlignment="1">
      <alignment horizontal="center" vertical="center"/>
    </xf>
    <xf numFmtId="3" fontId="10" fillId="42" borderId="137" xfId="4" applyNumberFormat="1" applyFont="1" applyFill="1" applyBorder="1" applyAlignment="1">
      <alignment horizontal="center" vertical="center" wrapText="1"/>
    </xf>
    <xf numFmtId="3" fontId="10" fillId="36" borderId="131" xfId="15" applyNumberFormat="1" applyFont="1" applyFill="1" applyBorder="1" applyAlignment="1">
      <alignment horizontal="center" vertical="center"/>
    </xf>
    <xf numFmtId="3" fontId="10" fillId="36" borderId="133" xfId="15" applyNumberFormat="1" applyFont="1" applyFill="1" applyBorder="1" applyAlignment="1">
      <alignment horizontal="center" vertical="center"/>
    </xf>
    <xf numFmtId="3" fontId="10" fillId="36" borderId="8" xfId="15" applyNumberFormat="1" applyFont="1" applyFill="1" applyBorder="1" applyAlignment="1">
      <alignment horizontal="center" vertical="center"/>
    </xf>
    <xf numFmtId="3" fontId="10" fillId="36" borderId="132" xfId="15" applyNumberFormat="1" applyFont="1" applyFill="1" applyBorder="1" applyAlignment="1">
      <alignment horizontal="center" vertical="center"/>
    </xf>
    <xf numFmtId="3" fontId="10" fillId="36" borderId="84" xfId="15" applyNumberFormat="1" applyFont="1" applyFill="1" applyBorder="1" applyAlignment="1">
      <alignment horizontal="center" vertical="center"/>
    </xf>
    <xf numFmtId="3" fontId="10" fillId="36" borderId="68" xfId="15" applyNumberFormat="1" applyFont="1" applyFill="1" applyBorder="1" applyAlignment="1">
      <alignment horizontal="center" vertical="center"/>
    </xf>
    <xf numFmtId="3" fontId="10" fillId="36" borderId="12" xfId="15" applyNumberFormat="1" applyFont="1" applyFill="1" applyBorder="1" applyAlignment="1">
      <alignment horizontal="center" vertical="center"/>
    </xf>
    <xf numFmtId="3" fontId="10" fillId="36" borderId="59" xfId="15" applyNumberFormat="1" applyFont="1" applyFill="1" applyBorder="1" applyAlignment="1">
      <alignment horizontal="center" vertical="center"/>
    </xf>
    <xf numFmtId="0" fontId="69" fillId="61" borderId="10" xfId="0" applyFont="1" applyFill="1" applyBorder="1" applyAlignment="1">
      <alignment horizontal="center" vertical="center" wrapText="1"/>
    </xf>
    <xf numFmtId="0" fontId="69" fillId="61" borderId="18" xfId="0" applyFont="1" applyFill="1" applyBorder="1" applyAlignment="1">
      <alignment horizontal="center" vertical="center" wrapText="1"/>
    </xf>
    <xf numFmtId="0" fontId="69" fillId="61" borderId="11" xfId="0" applyFont="1" applyFill="1" applyBorder="1" applyAlignment="1">
      <alignment horizontal="center" vertical="center" wrapText="1"/>
    </xf>
    <xf numFmtId="0" fontId="10" fillId="4" borderId="0" xfId="0" applyNumberFormat="1" applyFont="1" applyFill="1" applyBorder="1" applyAlignment="1">
      <alignment horizontal="center" vertical="center" wrapText="1"/>
    </xf>
    <xf numFmtId="0" fontId="74" fillId="4" borderId="0" xfId="0" applyFont="1" applyFill="1" applyBorder="1" applyAlignment="1">
      <alignment horizontal="center" vertical="center" wrapText="1"/>
    </xf>
    <xf numFmtId="0" fontId="28" fillId="4" borderId="0" xfId="0" applyFont="1" applyFill="1" applyBorder="1" applyAlignment="1">
      <alignment horizontal="center" vertical="center" wrapText="1"/>
    </xf>
    <xf numFmtId="0" fontId="69" fillId="61" borderId="7"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69" fillId="61" borderId="10" xfId="0" applyFont="1" applyFill="1" applyBorder="1" applyAlignment="1">
      <alignment horizontal="center" vertical="center" wrapText="1"/>
    </xf>
    <xf numFmtId="0" fontId="69" fillId="61" borderId="18" xfId="0" applyFont="1" applyFill="1" applyBorder="1" applyAlignment="1">
      <alignment horizontal="center" vertical="center" wrapText="1"/>
    </xf>
    <xf numFmtId="0" fontId="69" fillId="61" borderId="11" xfId="0" applyFont="1" applyFill="1" applyBorder="1" applyAlignment="1">
      <alignment horizontal="center" vertical="center" wrapText="1"/>
    </xf>
    <xf numFmtId="0" fontId="69" fillId="61" borderId="9" xfId="0" applyFont="1" applyFill="1" applyBorder="1" applyAlignment="1">
      <alignment horizontal="center" vertical="center" wrapText="1"/>
    </xf>
    <xf numFmtId="0" fontId="12" fillId="0" borderId="0" xfId="0" applyFont="1" applyFill="1" applyBorder="1" applyAlignment="1">
      <alignment horizontal="center" vertical="center"/>
    </xf>
    <xf numFmtId="0" fontId="69" fillId="61" borderId="18" xfId="0" applyFont="1" applyFill="1" applyBorder="1" applyAlignment="1">
      <alignment horizontal="center" vertical="center" wrapText="1"/>
    </xf>
    <xf numFmtId="0" fontId="10" fillId="0" borderId="3" xfId="0" applyFont="1" applyFill="1" applyBorder="1" applyAlignment="1">
      <alignment horizontal="left" vertical="top" wrapText="1"/>
    </xf>
    <xf numFmtId="0" fontId="69" fillId="61" borderId="14" xfId="0" applyFont="1" applyFill="1" applyBorder="1" applyAlignment="1">
      <alignment horizontal="center" vertical="center" wrapText="1"/>
    </xf>
    <xf numFmtId="0" fontId="50" fillId="0" borderId="131" xfId="0" applyFont="1" applyBorder="1"/>
    <xf numFmtId="0" fontId="28" fillId="0" borderId="84" xfId="0" applyFont="1" applyFill="1" applyBorder="1" applyAlignment="1">
      <alignment horizontal="center" vertical="center"/>
    </xf>
    <xf numFmtId="3" fontId="28" fillId="70" borderId="137" xfId="0" applyNumberFormat="1" applyFont="1" applyFill="1" applyBorder="1" applyAlignment="1">
      <alignment horizontal="center" vertical="center"/>
    </xf>
    <xf numFmtId="3" fontId="28" fillId="42" borderId="137" xfId="0" applyNumberFormat="1" applyFont="1" applyFill="1" applyBorder="1" applyAlignment="1">
      <alignment horizontal="center" vertical="center"/>
    </xf>
    <xf numFmtId="2" fontId="28" fillId="68" borderId="84" xfId="0" applyNumberFormat="1" applyFont="1" applyFill="1" applyBorder="1" applyAlignment="1">
      <alignment horizontal="center" vertical="center"/>
    </xf>
    <xf numFmtId="2" fontId="28" fillId="68" borderId="137" xfId="0" applyNumberFormat="1" applyFont="1" applyFill="1" applyBorder="1" applyAlignment="1">
      <alignment horizontal="center" vertical="center"/>
    </xf>
    <xf numFmtId="2" fontId="28" fillId="68" borderId="109" xfId="0" applyNumberFormat="1" applyFont="1" applyFill="1" applyBorder="1" applyAlignment="1">
      <alignment horizontal="center" vertical="center"/>
    </xf>
    <xf numFmtId="3" fontId="28" fillId="0" borderId="86" xfId="0" applyNumberFormat="1" applyFont="1" applyFill="1" applyBorder="1" applyAlignment="1">
      <alignment horizontal="center" vertical="center"/>
    </xf>
    <xf numFmtId="3" fontId="28" fillId="0" borderId="136" xfId="0" applyNumberFormat="1" applyFont="1" applyFill="1" applyBorder="1" applyAlignment="1">
      <alignment horizontal="center" vertical="center"/>
    </xf>
    <xf numFmtId="0" fontId="28" fillId="0" borderId="96" xfId="0" applyFont="1" applyBorder="1" applyAlignment="1">
      <alignment horizontal="center" vertical="center"/>
    </xf>
    <xf numFmtId="0" fontId="18" fillId="4" borderId="26" xfId="2" applyFill="1" applyBorder="1" applyAlignment="1" applyProtection="1">
      <alignment horizontal="center" vertical="center" wrapText="1"/>
    </xf>
    <xf numFmtId="0" fontId="28" fillId="0" borderId="82" xfId="0" applyFont="1" applyFill="1" applyBorder="1" applyAlignment="1">
      <alignment horizontal="left" vertical="center"/>
    </xf>
    <xf numFmtId="3" fontId="28" fillId="72" borderId="58" xfId="0" applyNumberFormat="1" applyFont="1" applyFill="1" applyBorder="1" applyAlignment="1">
      <alignment horizontal="center" vertical="center"/>
    </xf>
    <xf numFmtId="176" fontId="28" fillId="65" borderId="140" xfId="110" applyNumberFormat="1" applyFont="1" applyFill="1" applyBorder="1" applyAlignment="1">
      <alignment horizontal="center" vertical="center"/>
    </xf>
    <xf numFmtId="169" fontId="10" fillId="0" borderId="137" xfId="0" applyNumberFormat="1" applyFont="1" applyFill="1" applyBorder="1" applyAlignment="1">
      <alignment horizontal="center" vertical="center" wrapText="1"/>
    </xf>
    <xf numFmtId="2" fontId="28" fillId="0" borderId="142" xfId="110" applyNumberFormat="1" applyFont="1" applyFill="1" applyBorder="1" applyAlignment="1">
      <alignment horizontal="center" vertical="center"/>
    </xf>
    <xf numFmtId="176" fontId="28" fillId="0" borderId="142" xfId="110" applyNumberFormat="1" applyFont="1" applyFill="1" applyBorder="1" applyAlignment="1">
      <alignment horizontal="center" vertical="center"/>
    </xf>
    <xf numFmtId="0" fontId="18" fillId="4" borderId="107" xfId="2" applyFont="1" applyFill="1" applyBorder="1" applyAlignment="1" applyProtection="1">
      <alignment horizontal="center" vertical="center"/>
    </xf>
    <xf numFmtId="3" fontId="88" fillId="39" borderId="141" xfId="0" applyNumberFormat="1" applyFont="1" applyFill="1" applyBorder="1" applyAlignment="1">
      <alignment horizontal="center" vertical="center"/>
    </xf>
    <xf numFmtId="3" fontId="88" fillId="39" borderId="140" xfId="0" applyNumberFormat="1" applyFont="1" applyFill="1" applyBorder="1" applyAlignment="1">
      <alignment horizontal="center" vertical="center"/>
    </xf>
    <xf numFmtId="3" fontId="88" fillId="39" borderId="142" xfId="0" applyNumberFormat="1" applyFont="1" applyFill="1" applyBorder="1" applyAlignment="1">
      <alignment horizontal="center" vertical="center"/>
    </xf>
    <xf numFmtId="0" fontId="88" fillId="0" borderId="91" xfId="0" applyFont="1" applyFill="1" applyBorder="1" applyAlignment="1">
      <alignment horizontal="center" vertical="center"/>
    </xf>
    <xf numFmtId="0" fontId="88" fillId="0" borderId="78" xfId="0" applyFont="1" applyFill="1" applyBorder="1" applyAlignment="1">
      <alignment horizontal="center" vertical="center"/>
    </xf>
    <xf numFmtId="0" fontId="88" fillId="0" borderId="80" xfId="0" applyFont="1" applyFill="1" applyBorder="1" applyAlignment="1">
      <alignment horizontal="center" vertical="center"/>
    </xf>
    <xf numFmtId="0" fontId="89" fillId="0" borderId="58" xfId="0" applyFont="1" applyFill="1" applyBorder="1" applyAlignment="1">
      <alignment horizontal="center" vertical="center"/>
    </xf>
    <xf numFmtId="2" fontId="88" fillId="0" borderId="91" xfId="0" applyNumberFormat="1" applyFont="1" applyFill="1" applyBorder="1" applyAlignment="1">
      <alignment horizontal="center" vertical="center"/>
    </xf>
    <xf numFmtId="2" fontId="88" fillId="0" borderId="78" xfId="0" applyNumberFormat="1" applyFont="1" applyFill="1" applyBorder="1" applyAlignment="1">
      <alignment horizontal="center" vertical="center"/>
    </xf>
    <xf numFmtId="2" fontId="88" fillId="0" borderId="158" xfId="0" applyNumberFormat="1" applyFont="1" applyFill="1" applyBorder="1" applyAlignment="1">
      <alignment horizontal="center" vertical="center"/>
    </xf>
    <xf numFmtId="2" fontId="88" fillId="0" borderId="159" xfId="0" applyNumberFormat="1" applyFont="1" applyFill="1" applyBorder="1" applyAlignment="1">
      <alignment horizontal="center" vertical="center"/>
    </xf>
    <xf numFmtId="2" fontId="88" fillId="0" borderId="160" xfId="0" applyNumberFormat="1" applyFont="1" applyFill="1" applyBorder="1" applyAlignment="1">
      <alignment horizontal="center" vertical="center"/>
    </xf>
    <xf numFmtId="0" fontId="28" fillId="68" borderId="139" xfId="0" applyFont="1" applyFill="1" applyBorder="1" applyAlignment="1">
      <alignment horizontal="center" vertical="center"/>
    </xf>
    <xf numFmtId="3" fontId="45" fillId="0" borderId="42" xfId="0" applyNumberFormat="1" applyFont="1" applyFill="1" applyBorder="1" applyAlignment="1">
      <alignment horizontal="center" vertical="center"/>
    </xf>
    <xf numFmtId="0" fontId="69" fillId="61" borderId="150" xfId="0" applyFont="1" applyFill="1" applyBorder="1" applyAlignment="1">
      <alignment horizontal="center" vertical="center" wrapText="1"/>
    </xf>
    <xf numFmtId="0" fontId="0" fillId="4" borderId="87" xfId="0" applyFill="1" applyBorder="1" applyAlignment="1">
      <alignment vertical="top"/>
    </xf>
    <xf numFmtId="0" fontId="0" fillId="4" borderId="154" xfId="0" applyFill="1" applyBorder="1" applyAlignment="1">
      <alignment vertical="top"/>
    </xf>
    <xf numFmtId="0" fontId="69" fillId="61" borderId="7" xfId="0" applyFont="1" applyFill="1" applyBorder="1" applyAlignment="1">
      <alignment horizontal="center" vertical="center" wrapText="1"/>
    </xf>
    <xf numFmtId="0" fontId="69" fillId="61" borderId="29" xfId="0" applyFont="1" applyFill="1" applyBorder="1" applyAlignment="1">
      <alignment horizontal="center" vertical="center" wrapText="1"/>
    </xf>
    <xf numFmtId="0" fontId="69" fillId="61" borderId="26" xfId="0" applyFont="1" applyFill="1" applyBorder="1" applyAlignment="1">
      <alignment horizontal="center" vertical="center" wrapText="1"/>
    </xf>
    <xf numFmtId="0" fontId="69" fillId="61" borderId="7" xfId="0" applyFont="1" applyFill="1" applyBorder="1" applyAlignment="1">
      <alignment horizontal="center" vertical="center" wrapText="1"/>
    </xf>
    <xf numFmtId="0" fontId="69" fillId="61" borderId="10" xfId="0" applyFont="1" applyFill="1" applyBorder="1" applyAlignment="1">
      <alignment horizontal="center" vertical="center" wrapText="1"/>
    </xf>
    <xf numFmtId="0" fontId="69" fillId="61" borderId="18" xfId="0" applyFont="1" applyFill="1" applyBorder="1" applyAlignment="1">
      <alignment horizontal="center" vertical="center" wrapText="1"/>
    </xf>
    <xf numFmtId="0" fontId="69" fillId="61" borderId="11" xfId="0" applyFont="1" applyFill="1" applyBorder="1" applyAlignment="1">
      <alignment horizontal="center" vertical="center" wrapText="1"/>
    </xf>
    <xf numFmtId="0" fontId="69" fillId="61" borderId="9" xfId="0" applyFont="1" applyFill="1" applyBorder="1" applyAlignment="1">
      <alignment horizontal="center" vertical="center" wrapText="1"/>
    </xf>
    <xf numFmtId="0" fontId="91" fillId="61" borderId="128" xfId="0" applyFont="1" applyFill="1" applyBorder="1" applyAlignment="1">
      <alignment horizontal="center" vertical="center" wrapText="1"/>
    </xf>
    <xf numFmtId="0" fontId="91" fillId="61" borderId="8" xfId="0" applyFont="1" applyFill="1" applyBorder="1" applyAlignment="1">
      <alignment horizontal="center" vertical="center" wrapText="1"/>
    </xf>
    <xf numFmtId="0" fontId="91" fillId="61" borderId="9" xfId="0" applyFont="1" applyFill="1" applyBorder="1" applyAlignment="1">
      <alignment horizontal="center" vertical="center" wrapText="1"/>
    </xf>
    <xf numFmtId="0" fontId="28" fillId="0" borderId="132" xfId="110" applyFont="1" applyBorder="1" applyAlignment="1">
      <alignment horizontal="center" vertical="center" wrapText="1"/>
    </xf>
    <xf numFmtId="0" fontId="28" fillId="0" borderId="132" xfId="0" applyFont="1" applyBorder="1" applyAlignment="1">
      <alignment horizontal="center" vertical="center"/>
    </xf>
    <xf numFmtId="0" fontId="18" fillId="0" borderId="16" xfId="2" applyBorder="1" applyAlignment="1" applyProtection="1">
      <alignment horizontal="center" vertical="center" wrapText="1"/>
    </xf>
    <xf numFmtId="0" fontId="10" fillId="4" borderId="87" xfId="0" applyFont="1" applyFill="1" applyBorder="1" applyAlignment="1">
      <alignment vertical="top"/>
    </xf>
    <xf numFmtId="0" fontId="0" fillId="4" borderId="136" xfId="0" applyFill="1" applyBorder="1" applyAlignment="1">
      <alignment vertical="top"/>
    </xf>
    <xf numFmtId="0" fontId="10" fillId="4" borderId="115" xfId="0" applyFont="1" applyFill="1" applyBorder="1" applyAlignment="1">
      <alignment horizontal="center" vertical="center" wrapText="1"/>
    </xf>
    <xf numFmtId="1" fontId="10" fillId="36" borderId="132" xfId="0" applyNumberFormat="1" applyFont="1" applyFill="1" applyBorder="1" applyAlignment="1">
      <alignment horizontal="center" vertical="center"/>
    </xf>
    <xf numFmtId="1" fontId="10" fillId="36" borderId="131" xfId="0" applyNumberFormat="1" applyFont="1" applyFill="1" applyBorder="1" applyAlignment="1">
      <alignment horizontal="center" vertical="center"/>
    </xf>
    <xf numFmtId="0" fontId="10" fillId="36" borderId="133" xfId="0" applyFont="1" applyFill="1" applyBorder="1" applyAlignment="1">
      <alignment horizontal="center" vertical="center"/>
    </xf>
    <xf numFmtId="37" fontId="10" fillId="36" borderId="131" xfId="15" applyNumberFormat="1" applyFont="1" applyFill="1" applyBorder="1" applyAlignment="1">
      <alignment horizontal="center" wrapText="1"/>
    </xf>
    <xf numFmtId="0" fontId="28" fillId="59" borderId="142" xfId="0" applyFont="1" applyFill="1" applyBorder="1" applyAlignment="1">
      <alignment horizontal="center" vertical="center"/>
    </xf>
    <xf numFmtId="3" fontId="28" fillId="4" borderId="153" xfId="0" applyNumberFormat="1" applyFont="1" applyFill="1" applyBorder="1" applyAlignment="1">
      <alignment horizontal="center" vertical="center"/>
    </xf>
    <xf numFmtId="3" fontId="28" fillId="4" borderId="140" xfId="0" applyNumberFormat="1" applyFont="1" applyFill="1" applyBorder="1" applyAlignment="1">
      <alignment horizontal="center" vertical="center"/>
    </xf>
    <xf numFmtId="2" fontId="28" fillId="68" borderId="58" xfId="0" applyNumberFormat="1" applyFont="1" applyFill="1" applyBorder="1" applyAlignment="1">
      <alignment horizontal="center" vertical="center"/>
    </xf>
    <xf numFmtId="3" fontId="28" fillId="36" borderId="103" xfId="0" applyNumberFormat="1" applyFont="1" applyFill="1" applyBorder="1" applyAlignment="1">
      <alignment horizontal="center" vertical="center"/>
    </xf>
    <xf numFmtId="3" fontId="28" fillId="36" borderId="106" xfId="0" applyNumberFormat="1" applyFont="1" applyFill="1" applyBorder="1" applyAlignment="1">
      <alignment horizontal="center" vertical="center"/>
    </xf>
    <xf numFmtId="3" fontId="28" fillId="36" borderId="129" xfId="0" applyNumberFormat="1" applyFont="1" applyFill="1" applyBorder="1" applyAlignment="1">
      <alignment horizontal="center" vertical="center"/>
    </xf>
    <xf numFmtId="0" fontId="28" fillId="68" borderId="135" xfId="0" applyFont="1" applyFill="1" applyBorder="1" applyAlignment="1">
      <alignment horizontal="center" vertical="center"/>
    </xf>
    <xf numFmtId="0" fontId="69" fillId="61" borderId="114" xfId="0" applyFont="1" applyFill="1" applyBorder="1" applyAlignment="1">
      <alignment horizontal="center" vertical="center" wrapText="1"/>
    </xf>
    <xf numFmtId="0" fontId="69" fillId="61" borderId="70" xfId="0" applyFont="1" applyFill="1" applyBorder="1" applyAlignment="1">
      <alignment horizontal="center" vertical="center" wrapText="1"/>
    </xf>
    <xf numFmtId="3" fontId="10" fillId="39" borderId="58" xfId="15" applyNumberFormat="1" applyFont="1" applyFill="1" applyBorder="1" applyAlignment="1">
      <alignment horizontal="center" vertical="center"/>
    </xf>
    <xf numFmtId="3" fontId="28" fillId="39" borderId="59" xfId="0" applyNumberFormat="1" applyFont="1" applyFill="1" applyBorder="1" applyAlignment="1">
      <alignment horizontal="center" vertical="center"/>
    </xf>
    <xf numFmtId="166" fontId="28" fillId="39" borderId="83" xfId="10" applyNumberFormat="1" applyFont="1" applyFill="1" applyBorder="1" applyAlignment="1">
      <alignment horizontal="center" vertical="center"/>
    </xf>
    <xf numFmtId="166" fontId="28" fillId="39" borderId="79" xfId="10" applyNumberFormat="1" applyFont="1" applyFill="1" applyBorder="1" applyAlignment="1">
      <alignment horizontal="center" vertical="center"/>
    </xf>
    <xf numFmtId="166" fontId="28" fillId="39" borderId="149" xfId="10" applyNumberFormat="1" applyFont="1" applyFill="1" applyBorder="1" applyAlignment="1">
      <alignment horizontal="center" vertical="center"/>
    </xf>
    <xf numFmtId="166" fontId="28" fillId="39" borderId="146" xfId="10" applyNumberFormat="1" applyFont="1" applyFill="1" applyBorder="1" applyAlignment="1">
      <alignment horizontal="center" vertical="center"/>
    </xf>
    <xf numFmtId="166" fontId="28" fillId="39" borderId="162" xfId="10" applyNumberFormat="1" applyFont="1" applyFill="1" applyBorder="1" applyAlignment="1">
      <alignment horizontal="center" vertical="center"/>
    </xf>
    <xf numFmtId="3" fontId="10" fillId="39" borderId="12" xfId="0" applyNumberFormat="1" applyFont="1" applyFill="1" applyBorder="1" applyAlignment="1">
      <alignment horizontal="center" vertical="center"/>
    </xf>
    <xf numFmtId="3" fontId="0" fillId="39" borderId="59" xfId="0" applyNumberFormat="1" applyFill="1" applyBorder="1" applyAlignment="1">
      <alignment horizontal="center" vertical="center"/>
    </xf>
    <xf numFmtId="0" fontId="10" fillId="0" borderId="94" xfId="0" applyFont="1" applyBorder="1" applyAlignment="1">
      <alignment horizontal="center" vertical="center" wrapText="1"/>
    </xf>
    <xf numFmtId="0" fontId="10" fillId="0" borderId="95" xfId="0" applyFont="1" applyBorder="1" applyAlignment="1">
      <alignment horizontal="center" vertical="center" wrapText="1"/>
    </xf>
    <xf numFmtId="0" fontId="10" fillId="0" borderId="93" xfId="0" applyFont="1" applyBorder="1" applyAlignment="1">
      <alignment horizontal="center" vertical="center" wrapText="1"/>
    </xf>
    <xf numFmtId="0" fontId="10" fillId="0" borderId="115" xfId="0" applyFont="1" applyBorder="1" applyAlignment="1">
      <alignment horizontal="center" vertical="center" wrapText="1"/>
    </xf>
    <xf numFmtId="0" fontId="10" fillId="0" borderId="104" xfId="0" applyFont="1" applyBorder="1" applyAlignment="1">
      <alignment horizontal="center" vertical="center" wrapText="1"/>
    </xf>
    <xf numFmtId="3" fontId="10" fillId="39" borderId="77" xfId="0" applyNumberFormat="1" applyFont="1" applyFill="1" applyBorder="1" applyAlignment="1">
      <alignment horizontal="center" vertical="center"/>
    </xf>
    <xf numFmtId="3" fontId="10" fillId="39" borderId="79" xfId="0" applyNumberFormat="1" applyFont="1" applyFill="1" applyBorder="1" applyAlignment="1">
      <alignment horizontal="center" vertical="center"/>
    </xf>
    <xf numFmtId="3" fontId="10" fillId="39" borderId="81" xfId="0" applyNumberFormat="1" applyFont="1" applyFill="1" applyBorder="1" applyAlignment="1">
      <alignment horizontal="center" vertical="center"/>
    </xf>
    <xf numFmtId="3" fontId="10" fillId="39" borderId="100" xfId="0" applyNumberFormat="1" applyFont="1" applyFill="1" applyBorder="1" applyAlignment="1">
      <alignment horizontal="center" vertical="center"/>
    </xf>
    <xf numFmtId="3" fontId="10" fillId="39" borderId="107" xfId="0" applyNumberFormat="1" applyFont="1" applyFill="1" applyBorder="1" applyAlignment="1">
      <alignment horizontal="center" vertical="center"/>
    </xf>
    <xf numFmtId="191" fontId="28" fillId="39" borderId="133" xfId="0" applyNumberFormat="1" applyFont="1" applyFill="1" applyBorder="1" applyAlignment="1">
      <alignment horizontal="center" vertical="center" wrapText="1"/>
    </xf>
    <xf numFmtId="190" fontId="28" fillId="39" borderId="133" xfId="0" applyNumberFormat="1" applyFont="1" applyFill="1" applyBorder="1" applyAlignment="1">
      <alignment horizontal="center" vertical="center" wrapText="1"/>
    </xf>
    <xf numFmtId="174" fontId="28" fillId="39" borderId="133" xfId="0" applyNumberFormat="1" applyFont="1" applyFill="1" applyBorder="1" applyAlignment="1">
      <alignment horizontal="center" vertical="center" wrapText="1"/>
    </xf>
    <xf numFmtId="0" fontId="10" fillId="4" borderId="132" xfId="0" applyFont="1" applyFill="1" applyBorder="1" applyAlignment="1">
      <alignment horizontal="right" wrapText="1"/>
    </xf>
    <xf numFmtId="165" fontId="10" fillId="4" borderId="132" xfId="0" applyNumberFormat="1" applyFont="1" applyFill="1" applyBorder="1" applyAlignment="1">
      <alignment horizontal="right" wrapText="1"/>
    </xf>
    <xf numFmtId="0" fontId="69" fillId="61" borderId="40" xfId="110" applyFont="1" applyFill="1" applyBorder="1" applyAlignment="1">
      <alignment horizontal="center" vertical="center" wrapText="1"/>
    </xf>
    <xf numFmtId="0" fontId="28" fillId="39" borderId="134" xfId="0" applyFont="1" applyFill="1" applyBorder="1" applyAlignment="1">
      <alignment horizontal="center" vertical="center"/>
    </xf>
    <xf numFmtId="0" fontId="28" fillId="65" borderId="133" xfId="0" applyFont="1" applyFill="1" applyBorder="1" applyAlignment="1">
      <alignment horizontal="center" vertical="center"/>
    </xf>
    <xf numFmtId="167" fontId="28" fillId="65" borderId="133" xfId="0" applyNumberFormat="1" applyFont="1" applyFill="1" applyBorder="1" applyAlignment="1">
      <alignment horizontal="center" vertical="center"/>
    </xf>
    <xf numFmtId="0" fontId="10" fillId="39" borderId="132" xfId="0" applyFont="1" applyFill="1" applyBorder="1" applyAlignment="1">
      <alignment horizontal="center" vertical="center"/>
    </xf>
    <xf numFmtId="0" fontId="10" fillId="39" borderId="131" xfId="0" applyFont="1" applyFill="1" applyBorder="1" applyAlignment="1">
      <alignment horizontal="center" vertical="center"/>
    </xf>
    <xf numFmtId="2" fontId="0" fillId="39" borderId="133" xfId="0" applyNumberFormat="1" applyFill="1" applyBorder="1" applyAlignment="1">
      <alignment horizontal="center" vertical="center"/>
    </xf>
    <xf numFmtId="0" fontId="0" fillId="39" borderId="133" xfId="0" applyFill="1" applyBorder="1" applyAlignment="1">
      <alignment horizontal="center" vertical="center"/>
    </xf>
    <xf numFmtId="0" fontId="10" fillId="39" borderId="12" xfId="0" applyFont="1" applyFill="1" applyBorder="1" applyAlignment="1">
      <alignment horizontal="center" vertical="center"/>
    </xf>
    <xf numFmtId="0" fontId="10" fillId="39" borderId="58" xfId="0" applyFont="1" applyFill="1" applyBorder="1" applyAlignment="1">
      <alignment horizontal="center" vertical="center"/>
    </xf>
    <xf numFmtId="0" fontId="0" fillId="39" borderId="59" xfId="0" applyFill="1" applyBorder="1" applyAlignment="1">
      <alignment horizontal="center" vertical="center"/>
    </xf>
    <xf numFmtId="170" fontId="10" fillId="39" borderId="59" xfId="0" applyNumberFormat="1" applyFont="1" applyFill="1" applyBorder="1" applyAlignment="1">
      <alignment vertical="center"/>
    </xf>
    <xf numFmtId="165" fontId="69" fillId="61" borderId="26" xfId="0" applyNumberFormat="1" applyFont="1" applyFill="1" applyBorder="1" applyAlignment="1">
      <alignment vertical="center" wrapText="1"/>
    </xf>
    <xf numFmtId="0" fontId="0" fillId="4" borderId="0" xfId="0" applyFill="1" applyAlignment="1">
      <alignment vertical="center"/>
    </xf>
    <xf numFmtId="0" fontId="69" fillId="61" borderId="10" xfId="0" applyFont="1" applyFill="1" applyBorder="1" applyAlignment="1">
      <alignment horizontal="center" vertical="center" wrapText="1"/>
    </xf>
    <xf numFmtId="1" fontId="28" fillId="0" borderId="133" xfId="0" applyNumberFormat="1" applyFont="1" applyBorder="1" applyAlignment="1">
      <alignment horizontal="center" vertical="center"/>
    </xf>
    <xf numFmtId="167" fontId="28" fillId="0" borderId="133" xfId="0" applyNumberFormat="1" applyFont="1" applyBorder="1" applyAlignment="1">
      <alignment horizontal="center" vertical="center"/>
    </xf>
    <xf numFmtId="1" fontId="45" fillId="0" borderId="59" xfId="0" applyNumberFormat="1" applyFont="1" applyBorder="1" applyAlignment="1">
      <alignment horizontal="center" vertical="center"/>
    </xf>
    <xf numFmtId="0" fontId="69" fillId="61" borderId="10" xfId="110" applyFont="1" applyFill="1" applyBorder="1" applyAlignment="1">
      <alignment horizontal="center" vertical="center" wrapText="1"/>
    </xf>
    <xf numFmtId="0" fontId="28" fillId="0" borderId="12" xfId="0" applyFont="1" applyBorder="1" applyAlignment="1">
      <alignment horizontal="center" vertical="center"/>
    </xf>
    <xf numFmtId="0" fontId="28" fillId="65" borderId="135" xfId="0" applyFont="1" applyFill="1" applyBorder="1" applyAlignment="1">
      <alignment vertical="center"/>
    </xf>
    <xf numFmtId="1" fontId="28" fillId="39" borderId="59" xfId="0" applyNumberFormat="1" applyFont="1" applyFill="1" applyBorder="1" applyAlignment="1">
      <alignment horizontal="center" vertical="center"/>
    </xf>
    <xf numFmtId="0" fontId="28" fillId="0" borderId="28" xfId="10" applyFont="1" applyBorder="1" applyAlignment="1">
      <alignment horizontal="center" vertical="center"/>
    </xf>
    <xf numFmtId="166" fontId="28" fillId="0" borderId="45" xfId="10" applyNumberFormat="1" applyFont="1" applyFill="1" applyBorder="1" applyAlignment="1">
      <alignment horizontal="center" vertical="center"/>
    </xf>
    <xf numFmtId="0" fontId="10" fillId="0" borderId="96" xfId="0" applyFont="1" applyFill="1" applyBorder="1" applyAlignment="1">
      <alignment horizontal="center" vertical="center"/>
    </xf>
    <xf numFmtId="3" fontId="10" fillId="0" borderId="97" xfId="0" applyNumberFormat="1" applyFont="1" applyFill="1" applyBorder="1" applyAlignment="1">
      <alignment horizontal="center" vertical="center"/>
    </xf>
    <xf numFmtId="170" fontId="10" fillId="0" borderId="116" xfId="0" applyNumberFormat="1" applyFont="1" applyFill="1" applyBorder="1" applyAlignment="1">
      <alignment horizontal="center" vertical="center"/>
    </xf>
    <xf numFmtId="3" fontId="10" fillId="42" borderId="80" xfId="0" applyNumberFormat="1" applyFont="1" applyFill="1" applyBorder="1" applyAlignment="1">
      <alignment horizontal="center" vertical="center"/>
    </xf>
    <xf numFmtId="3" fontId="50" fillId="36" borderId="91" xfId="0" applyNumberFormat="1" applyFont="1" applyFill="1" applyBorder="1" applyAlignment="1">
      <alignment horizontal="center" vertical="center" wrapText="1"/>
    </xf>
    <xf numFmtId="3" fontId="50" fillId="36" borderId="145" xfId="0" applyNumberFormat="1" applyFont="1" applyFill="1" applyBorder="1" applyAlignment="1">
      <alignment horizontal="center" vertical="center" wrapText="1"/>
    </xf>
    <xf numFmtId="3" fontId="10" fillId="36" borderId="80" xfId="0" applyNumberFormat="1" applyFont="1" applyFill="1" applyBorder="1" applyAlignment="1">
      <alignment horizontal="center" vertical="center" wrapText="1"/>
    </xf>
    <xf numFmtId="3" fontId="10" fillId="36" borderId="147" xfId="0" applyNumberFormat="1" applyFont="1" applyFill="1" applyBorder="1" applyAlignment="1">
      <alignment horizontal="center" vertical="center" wrapText="1"/>
    </xf>
    <xf numFmtId="0" fontId="10" fillId="4" borderId="12" xfId="0" applyFont="1" applyFill="1" applyBorder="1" applyAlignment="1">
      <alignment horizontal="center" vertical="center" wrapText="1"/>
    </xf>
    <xf numFmtId="0" fontId="69" fillId="61" borderId="40" xfId="0" applyFont="1" applyFill="1" applyBorder="1" applyAlignment="1">
      <alignment horizontal="center" vertical="center" wrapText="1"/>
    </xf>
    <xf numFmtId="0" fontId="69" fillId="60" borderId="4" xfId="19" applyFont="1" applyFill="1" applyBorder="1" applyAlignment="1">
      <alignment horizontal="center" vertical="center" wrapText="1"/>
    </xf>
    <xf numFmtId="0" fontId="69" fillId="61" borderId="7" xfId="0" applyFont="1" applyFill="1" applyBorder="1" applyAlignment="1">
      <alignment horizontal="center" vertical="center" wrapText="1"/>
    </xf>
    <xf numFmtId="0" fontId="69" fillId="61" borderId="10" xfId="0" applyFont="1" applyFill="1" applyBorder="1" applyAlignment="1">
      <alignment horizontal="center" vertical="center" wrapText="1"/>
    </xf>
    <xf numFmtId="0" fontId="69" fillId="61" borderId="18" xfId="0" applyFont="1" applyFill="1" applyBorder="1" applyAlignment="1">
      <alignment horizontal="center" vertical="center" wrapText="1"/>
    </xf>
    <xf numFmtId="0" fontId="69" fillId="61" borderId="11" xfId="0" applyFont="1" applyFill="1" applyBorder="1" applyAlignment="1">
      <alignment horizontal="center" vertical="center" wrapText="1"/>
    </xf>
    <xf numFmtId="0" fontId="28" fillId="4" borderId="0" xfId="0" applyFont="1" applyFill="1" applyBorder="1" applyAlignment="1">
      <alignment horizontal="center" vertical="center"/>
    </xf>
    <xf numFmtId="3" fontId="88" fillId="4" borderId="0" xfId="0" applyNumberFormat="1" applyFont="1" applyFill="1" applyBorder="1" applyAlignment="1">
      <alignment horizontal="center" vertical="center"/>
    </xf>
    <xf numFmtId="0" fontId="91" fillId="61" borderId="86" xfId="0" applyFont="1" applyFill="1" applyBorder="1" applyAlignment="1">
      <alignment horizontal="center" vertical="center" wrapText="1"/>
    </xf>
    <xf numFmtId="0" fontId="91" fillId="61" borderId="18" xfId="0" applyFont="1" applyFill="1" applyBorder="1" applyAlignment="1">
      <alignment horizontal="center" vertical="center" wrapText="1"/>
    </xf>
    <xf numFmtId="0" fontId="91" fillId="61" borderId="11" xfId="0" applyFont="1" applyFill="1" applyBorder="1" applyAlignment="1">
      <alignment horizontal="center" vertical="center" wrapText="1"/>
    </xf>
    <xf numFmtId="3" fontId="88" fillId="39" borderId="139" xfId="0" applyNumberFormat="1" applyFont="1" applyFill="1" applyBorder="1" applyAlignment="1">
      <alignment horizontal="center" vertical="center"/>
    </xf>
    <xf numFmtId="3" fontId="88" fillId="39" borderId="58" xfId="0" applyNumberFormat="1" applyFont="1" applyFill="1" applyBorder="1" applyAlignment="1">
      <alignment horizontal="center" vertical="center"/>
    </xf>
    <xf numFmtId="3" fontId="88" fillId="39" borderId="59" xfId="0" applyNumberFormat="1" applyFont="1" applyFill="1" applyBorder="1" applyAlignment="1">
      <alignment horizontal="center" vertical="center"/>
    </xf>
    <xf numFmtId="0" fontId="28" fillId="4" borderId="0" xfId="10" applyFont="1" applyFill="1" applyBorder="1" applyAlignment="1">
      <alignment horizontal="center" vertical="center"/>
    </xf>
    <xf numFmtId="166" fontId="28" fillId="4" borderId="0" xfId="10" applyNumberFormat="1" applyFont="1" applyFill="1" applyBorder="1" applyAlignment="1">
      <alignment horizontal="center" vertical="center"/>
    </xf>
    <xf numFmtId="0" fontId="28" fillId="0" borderId="90" xfId="110" applyFont="1" applyBorder="1" applyAlignment="1">
      <alignment horizontal="center" vertical="center"/>
    </xf>
    <xf numFmtId="0" fontId="28" fillId="0" borderId="91" xfId="110" applyFont="1" applyBorder="1" applyAlignment="1">
      <alignment horizontal="center" vertical="center"/>
    </xf>
    <xf numFmtId="0" fontId="28" fillId="0" borderId="104" xfId="110" applyFont="1" applyBorder="1" applyAlignment="1">
      <alignment horizontal="center" vertical="center"/>
    </xf>
    <xf numFmtId="0" fontId="28" fillId="0" borderId="105" xfId="110" applyFont="1" applyBorder="1" applyAlignment="1">
      <alignment horizontal="center" vertical="center"/>
    </xf>
    <xf numFmtId="176" fontId="28" fillId="0" borderId="0" xfId="110" applyNumberFormat="1" applyFont="1" applyFill="1" applyBorder="1" applyAlignment="1">
      <alignment horizontal="center" vertical="center"/>
    </xf>
    <xf numFmtId="0" fontId="18" fillId="4" borderId="0" xfId="2" applyFont="1" applyFill="1" applyBorder="1" applyAlignment="1" applyProtection="1">
      <alignment horizontal="center" vertical="center"/>
    </xf>
    <xf numFmtId="0" fontId="28" fillId="4" borderId="0" xfId="110" applyFont="1" applyFill="1" applyBorder="1" applyAlignment="1">
      <alignment horizontal="center" vertical="center"/>
    </xf>
    <xf numFmtId="176" fontId="28" fillId="4" borderId="66" xfId="110" applyNumberFormat="1" applyFont="1" applyFill="1" applyBorder="1" applyAlignment="1">
      <alignment horizontal="center" vertical="center"/>
    </xf>
    <xf numFmtId="2" fontId="28" fillId="4" borderId="0" xfId="110" applyNumberFormat="1" applyFont="1" applyFill="1" applyBorder="1" applyAlignment="1">
      <alignment horizontal="center" vertical="center"/>
    </xf>
    <xf numFmtId="0" fontId="69" fillId="61" borderId="10" xfId="0" applyNumberFormat="1" applyFont="1" applyFill="1" applyBorder="1" applyAlignment="1">
      <alignment horizontal="center" vertical="center" wrapText="1"/>
    </xf>
    <xf numFmtId="0" fontId="69" fillId="61" borderId="86" xfId="0" applyNumberFormat="1" applyFont="1" applyFill="1" applyBorder="1" applyAlignment="1">
      <alignment horizontal="center" vertical="center" wrapText="1"/>
    </xf>
    <xf numFmtId="0" fontId="69" fillId="61" borderId="86" xfId="110" applyFont="1" applyFill="1" applyBorder="1" applyAlignment="1">
      <alignment horizontal="center" vertical="center"/>
    </xf>
    <xf numFmtId="176" fontId="69" fillId="61" borderId="86" xfId="110" applyNumberFormat="1" applyFont="1" applyFill="1" applyBorder="1" applyAlignment="1">
      <alignment horizontal="center" vertical="center"/>
    </xf>
    <xf numFmtId="0" fontId="69" fillId="61" borderId="101" xfId="110" applyFont="1" applyFill="1" applyBorder="1" applyAlignment="1">
      <alignment horizontal="center" vertical="center"/>
    </xf>
    <xf numFmtId="0" fontId="0" fillId="65" borderId="110" xfId="0" applyFill="1" applyBorder="1"/>
    <xf numFmtId="176" fontId="28" fillId="39" borderId="141" xfId="110" applyNumberFormat="1" applyFont="1" applyFill="1" applyBorder="1" applyAlignment="1">
      <alignment horizontal="center" vertical="center"/>
    </xf>
    <xf numFmtId="2" fontId="28" fillId="39" borderId="141" xfId="110" applyNumberFormat="1" applyFont="1" applyFill="1" applyBorder="1" applyAlignment="1">
      <alignment horizontal="center" vertical="center"/>
    </xf>
    <xf numFmtId="176" fontId="28" fillId="39" borderId="140" xfId="110" applyNumberFormat="1" applyFont="1" applyFill="1" applyBorder="1" applyAlignment="1">
      <alignment horizontal="center" vertical="center"/>
    </xf>
    <xf numFmtId="2" fontId="28" fillId="39" borderId="140" xfId="110" applyNumberFormat="1" applyFont="1" applyFill="1" applyBorder="1" applyAlignment="1">
      <alignment horizontal="center" vertical="center"/>
    </xf>
    <xf numFmtId="0" fontId="28" fillId="39" borderId="142" xfId="110" applyFont="1" applyFill="1" applyBorder="1" applyAlignment="1">
      <alignment horizontal="center" vertical="center"/>
    </xf>
    <xf numFmtId="0" fontId="10" fillId="39" borderId="102" xfId="0" applyNumberFormat="1" applyFont="1" applyFill="1" applyBorder="1" applyAlignment="1">
      <alignment horizontal="center" vertical="center" wrapText="1"/>
    </xf>
    <xf numFmtId="2" fontId="28" fillId="39" borderId="142" xfId="110" applyNumberFormat="1" applyFont="1" applyFill="1" applyBorder="1" applyAlignment="1">
      <alignment horizontal="center" vertical="center"/>
    </xf>
    <xf numFmtId="176" fontId="28" fillId="39" borderId="142" xfId="110" applyNumberFormat="1" applyFont="1" applyFill="1" applyBorder="1" applyAlignment="1">
      <alignment horizontal="center" vertical="center"/>
    </xf>
    <xf numFmtId="176" fontId="28" fillId="39" borderId="162" xfId="110" applyNumberFormat="1" applyFont="1" applyFill="1" applyBorder="1" applyAlignment="1">
      <alignment horizontal="center" vertical="center"/>
    </xf>
    <xf numFmtId="0" fontId="69" fillId="61" borderId="9" xfId="0" applyFont="1" applyFill="1" applyBorder="1" applyAlignment="1">
      <alignment horizontal="center" vertical="center"/>
    </xf>
    <xf numFmtId="0" fontId="10" fillId="39" borderId="59" xfId="0" applyFont="1" applyFill="1" applyBorder="1" applyAlignment="1">
      <alignment horizontal="center" vertical="center"/>
    </xf>
    <xf numFmtId="0" fontId="0" fillId="65" borderId="91" xfId="0" applyFill="1" applyBorder="1"/>
    <xf numFmtId="0" fontId="0" fillId="65" borderId="64" xfId="0" applyFill="1" applyBorder="1"/>
    <xf numFmtId="9" fontId="28" fillId="40" borderId="27" xfId="3" applyFont="1" applyFill="1" applyBorder="1" applyAlignment="1">
      <alignment horizontal="center" vertical="center"/>
    </xf>
    <xf numFmtId="3" fontId="28" fillId="40" borderId="45" xfId="3" applyNumberFormat="1" applyFont="1" applyFill="1" applyBorder="1" applyAlignment="1">
      <alignment horizontal="center" vertical="center"/>
    </xf>
    <xf numFmtId="9" fontId="28" fillId="40" borderId="97" xfId="3" applyFont="1" applyFill="1" applyBorder="1" applyAlignment="1">
      <alignment horizontal="center" vertical="center"/>
    </xf>
    <xf numFmtId="9" fontId="28" fillId="40" borderId="78" xfId="3" applyFont="1" applyFill="1" applyBorder="1" applyAlignment="1">
      <alignment horizontal="center" vertical="center"/>
    </xf>
    <xf numFmtId="3" fontId="28" fillId="40" borderId="108" xfId="3" applyNumberFormat="1" applyFont="1" applyFill="1" applyBorder="1" applyAlignment="1">
      <alignment horizontal="center" vertical="center"/>
    </xf>
    <xf numFmtId="3" fontId="28" fillId="40" borderId="79" xfId="3" applyNumberFormat="1" applyFont="1" applyFill="1" applyBorder="1" applyAlignment="1">
      <alignment horizontal="center" vertical="center"/>
    </xf>
    <xf numFmtId="0" fontId="69" fillId="61" borderId="155" xfId="0" applyFont="1" applyFill="1" applyBorder="1" applyAlignment="1">
      <alignment horizontal="center" vertical="center" wrapText="1"/>
    </xf>
    <xf numFmtId="3" fontId="28" fillId="38" borderId="77" xfId="3" applyNumberFormat="1" applyFont="1" applyFill="1" applyBorder="1" applyAlignment="1">
      <alignment horizontal="center" vertical="center"/>
    </xf>
    <xf numFmtId="3" fontId="28" fillId="38" borderId="79" xfId="3" applyNumberFormat="1" applyFont="1" applyFill="1" applyBorder="1" applyAlignment="1">
      <alignment horizontal="center" vertical="center"/>
    </xf>
    <xf numFmtId="0" fontId="10" fillId="4" borderId="28" xfId="0" applyFont="1" applyFill="1" applyBorder="1" applyAlignment="1">
      <alignment horizontal="center" vertical="center"/>
    </xf>
    <xf numFmtId="3" fontId="28" fillId="0" borderId="27" xfId="0" applyNumberFormat="1" applyFont="1" applyFill="1" applyBorder="1" applyAlignment="1">
      <alignment horizontal="center" vertical="center" wrapText="1"/>
    </xf>
    <xf numFmtId="181" fontId="10" fillId="0" borderId="131" xfId="0" applyNumberFormat="1" applyFont="1" applyFill="1" applyBorder="1" applyAlignment="1">
      <alignment horizontal="center" vertical="center"/>
    </xf>
    <xf numFmtId="175" fontId="10" fillId="0" borderId="134" xfId="0" applyNumberFormat="1" applyFont="1" applyFill="1" applyBorder="1" applyAlignment="1">
      <alignment horizontal="center" vertical="center"/>
    </xf>
    <xf numFmtId="4" fontId="45" fillId="0" borderId="43" xfId="0" applyNumberFormat="1" applyFont="1" applyFill="1" applyBorder="1" applyAlignment="1">
      <alignment horizontal="center" vertical="center" wrapText="1"/>
    </xf>
    <xf numFmtId="3" fontId="69" fillId="61" borderId="46" xfId="0" applyNumberFormat="1" applyFont="1" applyFill="1" applyBorder="1" applyAlignment="1">
      <alignment horizontal="center" vertical="center" wrapText="1"/>
    </xf>
    <xf numFmtId="4" fontId="28" fillId="0" borderId="133" xfId="0" applyNumberFormat="1" applyFont="1" applyFill="1" applyBorder="1" applyAlignment="1">
      <alignment horizontal="center" vertical="center"/>
    </xf>
    <xf numFmtId="4" fontId="0" fillId="4" borderId="65" xfId="0" applyNumberFormat="1" applyFill="1" applyBorder="1" applyAlignment="1">
      <alignment horizontal="center"/>
    </xf>
    <xf numFmtId="4" fontId="28" fillId="0" borderId="59" xfId="0" applyNumberFormat="1" applyFont="1" applyFill="1" applyBorder="1" applyAlignment="1">
      <alignment horizontal="center" vertical="center"/>
    </xf>
    <xf numFmtId="2" fontId="89" fillId="0" borderId="58" xfId="0" applyNumberFormat="1" applyFont="1" applyFill="1" applyBorder="1" applyAlignment="1">
      <alignment horizontal="center" vertical="center"/>
    </xf>
    <xf numFmtId="2" fontId="89" fillId="0" borderId="74" xfId="0" applyNumberFormat="1" applyFont="1" applyFill="1" applyBorder="1" applyAlignment="1">
      <alignment horizontal="center" vertical="center"/>
    </xf>
    <xf numFmtId="0" fontId="19" fillId="4" borderId="0" xfId="0" applyFont="1" applyFill="1" applyBorder="1" applyAlignment="1">
      <alignment horizontal="left" vertical="top" wrapText="1"/>
    </xf>
    <xf numFmtId="0" fontId="0" fillId="4" borderId="0" xfId="0" applyFill="1" applyBorder="1" applyAlignment="1">
      <alignment horizontal="left" vertical="top" wrapText="1"/>
    </xf>
    <xf numFmtId="0" fontId="10" fillId="4" borderId="111" xfId="0" applyFont="1" applyFill="1" applyBorder="1" applyAlignment="1">
      <alignment horizontal="left" vertical="top" wrapText="1" indent="1"/>
    </xf>
    <xf numFmtId="0" fontId="10" fillId="4" borderId="173" xfId="0" applyFont="1" applyFill="1" applyBorder="1" applyAlignment="1">
      <alignment horizontal="left" vertical="top" wrapText="1" indent="1"/>
    </xf>
    <xf numFmtId="3" fontId="10" fillId="42" borderId="91" xfId="0" applyNumberFormat="1" applyFont="1" applyFill="1" applyBorder="1" applyAlignment="1">
      <alignment horizontal="center" vertical="top" wrapText="1"/>
    </xf>
    <xf numFmtId="3" fontId="10" fillId="42" borderId="105" xfId="0" applyNumberFormat="1" applyFont="1" applyFill="1" applyBorder="1" applyAlignment="1">
      <alignment horizontal="center" vertical="top" wrapText="1"/>
    </xf>
    <xf numFmtId="4" fontId="10" fillId="4" borderId="105" xfId="0" applyNumberFormat="1" applyFont="1" applyFill="1" applyBorder="1" applyAlignment="1">
      <alignment horizontal="center" vertical="top" wrapText="1"/>
    </xf>
    <xf numFmtId="3" fontId="10" fillId="4" borderId="105" xfId="0" applyNumberFormat="1" applyFont="1" applyFill="1" applyBorder="1" applyAlignment="1">
      <alignment horizontal="center" vertical="top" wrapText="1"/>
    </xf>
    <xf numFmtId="4" fontId="10" fillId="4" borderId="105" xfId="0" applyNumberFormat="1" applyFont="1" applyFill="1" applyBorder="1" applyAlignment="1">
      <alignment horizontal="center"/>
    </xf>
    <xf numFmtId="4" fontId="10" fillId="4" borderId="162" xfId="0" applyNumberFormat="1" applyFont="1" applyFill="1" applyBorder="1" applyAlignment="1">
      <alignment horizontal="center"/>
    </xf>
    <xf numFmtId="4" fontId="28" fillId="0" borderId="129" xfId="0" applyNumberFormat="1" applyFont="1" applyFill="1" applyBorder="1" applyAlignment="1">
      <alignment horizontal="center" vertical="center"/>
    </xf>
    <xf numFmtId="4" fontId="69" fillId="74" borderId="25" xfId="0" applyNumberFormat="1" applyFont="1" applyFill="1" applyBorder="1" applyAlignment="1">
      <alignment horizontal="center" vertical="center" wrapText="1"/>
    </xf>
    <xf numFmtId="3" fontId="69" fillId="74" borderId="29" xfId="0" applyNumberFormat="1" applyFont="1" applyFill="1" applyBorder="1" applyAlignment="1">
      <alignment horizontal="center" vertical="center" wrapText="1"/>
    </xf>
    <xf numFmtId="3" fontId="69" fillId="74" borderId="44" xfId="0" applyNumberFormat="1" applyFont="1" applyFill="1" applyBorder="1" applyAlignment="1">
      <alignment horizontal="center" vertical="center" wrapText="1"/>
    </xf>
    <xf numFmtId="0" fontId="19" fillId="0" borderId="0" xfId="0" applyNumberFormat="1" applyFont="1" applyFill="1" applyBorder="1" applyAlignment="1">
      <alignment horizontal="left" vertical="top" wrapText="1"/>
    </xf>
    <xf numFmtId="0" fontId="0" fillId="0" borderId="0" xfId="0" applyFill="1" applyBorder="1" applyAlignment="1">
      <alignment horizontal="left" vertical="top" wrapText="1"/>
    </xf>
    <xf numFmtId="0" fontId="69" fillId="74" borderId="28" xfId="0" applyFont="1" applyFill="1" applyBorder="1" applyAlignment="1">
      <alignment horizontal="center" vertical="center" wrapText="1"/>
    </xf>
    <xf numFmtId="0" fontId="69" fillId="74" borderId="29" xfId="0" applyFont="1" applyFill="1" applyBorder="1" applyAlignment="1">
      <alignment horizontal="center" vertical="center" wrapText="1"/>
    </xf>
    <xf numFmtId="3" fontId="10" fillId="42" borderId="58" xfId="0" applyNumberFormat="1" applyFont="1" applyFill="1" applyBorder="1" applyAlignment="1">
      <alignment horizontal="center" vertical="center" wrapText="1"/>
    </xf>
    <xf numFmtId="4" fontId="69" fillId="74" borderId="18" xfId="0" applyNumberFormat="1" applyFont="1" applyFill="1" applyBorder="1" applyAlignment="1">
      <alignment horizontal="center" vertical="center" wrapText="1"/>
    </xf>
    <xf numFmtId="4" fontId="50" fillId="0" borderId="58" xfId="0" applyNumberFormat="1" applyFont="1" applyFill="1" applyBorder="1" applyAlignment="1">
      <alignment horizontal="center" vertical="center"/>
    </xf>
    <xf numFmtId="3" fontId="50" fillId="0" borderId="58" xfId="0" applyNumberFormat="1" applyFont="1" applyFill="1" applyBorder="1" applyAlignment="1">
      <alignment horizontal="center" vertical="center"/>
    </xf>
    <xf numFmtId="3" fontId="28" fillId="0" borderId="13" xfId="0" applyNumberFormat="1" applyFont="1" applyFill="1" applyBorder="1" applyAlignment="1">
      <alignment horizontal="center" vertical="center"/>
    </xf>
    <xf numFmtId="4" fontId="28" fillId="0" borderId="13" xfId="0" applyNumberFormat="1" applyFont="1" applyFill="1" applyBorder="1" applyAlignment="1">
      <alignment horizontal="center" vertical="center"/>
    </xf>
    <xf numFmtId="181" fontId="10" fillId="0" borderId="109" xfId="0" applyNumberFormat="1" applyFont="1" applyFill="1" applyBorder="1" applyAlignment="1">
      <alignment horizontal="center" vertical="center"/>
    </xf>
    <xf numFmtId="181" fontId="10" fillId="0" borderId="103" xfId="0" applyNumberFormat="1" applyFont="1" applyFill="1" applyBorder="1" applyAlignment="1">
      <alignment horizontal="center" vertical="center"/>
    </xf>
    <xf numFmtId="181" fontId="10" fillId="0" borderId="127" xfId="0" applyNumberFormat="1" applyFont="1" applyFill="1" applyBorder="1" applyAlignment="1">
      <alignment horizontal="center" vertical="center"/>
    </xf>
    <xf numFmtId="4" fontId="28" fillId="0" borderId="172" xfId="0" applyNumberFormat="1" applyFont="1" applyFill="1" applyBorder="1" applyAlignment="1">
      <alignment horizontal="center" vertical="center"/>
    </xf>
    <xf numFmtId="4" fontId="28" fillId="0" borderId="174" xfId="0" applyNumberFormat="1" applyFont="1" applyFill="1" applyBorder="1" applyAlignment="1">
      <alignment horizontal="center" vertical="center"/>
    </xf>
    <xf numFmtId="170" fontId="10" fillId="4" borderId="135" xfId="0" applyNumberFormat="1" applyFont="1" applyFill="1" applyBorder="1" applyAlignment="1">
      <alignment horizontal="center" vertical="center"/>
    </xf>
    <xf numFmtId="0" fontId="69" fillId="61" borderId="77" xfId="0" applyFont="1" applyFill="1" applyBorder="1" applyAlignment="1">
      <alignment horizontal="center" vertical="center" wrapText="1"/>
    </xf>
    <xf numFmtId="4" fontId="10" fillId="4" borderId="13" xfId="0" applyNumberFormat="1" applyFont="1" applyFill="1" applyBorder="1" applyAlignment="1">
      <alignment horizontal="center" vertical="top"/>
    </xf>
    <xf numFmtId="3" fontId="28" fillId="38" borderId="8" xfId="3" applyNumberFormat="1" applyFont="1" applyFill="1" applyBorder="1" applyAlignment="1">
      <alignment horizontal="center" vertical="center"/>
    </xf>
    <xf numFmtId="9" fontId="28" fillId="41" borderId="132" xfId="3" applyFont="1" applyFill="1" applyBorder="1" applyAlignment="1">
      <alignment horizontal="center" vertical="center" wrapText="1"/>
    </xf>
    <xf numFmtId="9" fontId="28" fillId="40" borderId="132" xfId="3" applyFont="1" applyFill="1" applyBorder="1" applyAlignment="1">
      <alignment horizontal="center" vertical="center" wrapText="1"/>
    </xf>
    <xf numFmtId="169" fontId="28" fillId="0" borderId="66" xfId="0" applyNumberFormat="1" applyFont="1" applyFill="1" applyBorder="1" applyAlignment="1">
      <alignment horizontal="center" vertical="center"/>
    </xf>
    <xf numFmtId="0" fontId="28" fillId="4" borderId="96" xfId="0" applyFont="1" applyFill="1" applyBorder="1" applyAlignment="1">
      <alignment horizontal="center" vertical="center"/>
    </xf>
    <xf numFmtId="0" fontId="28" fillId="0" borderId="97" xfId="110" applyFont="1" applyBorder="1" applyAlignment="1">
      <alignment horizontal="center" vertical="center" wrapText="1"/>
    </xf>
    <xf numFmtId="169" fontId="28" fillId="0" borderId="78" xfId="0" applyNumberFormat="1" applyFont="1" applyFill="1" applyBorder="1" applyAlignment="1">
      <alignment horizontal="center" vertical="center"/>
    </xf>
    <xf numFmtId="0" fontId="28" fillId="4" borderId="108" xfId="0" applyFont="1" applyFill="1" applyBorder="1" applyAlignment="1">
      <alignment horizontal="center" vertical="center"/>
    </xf>
    <xf numFmtId="3" fontId="10" fillId="4" borderId="136" xfId="1" applyNumberFormat="1" applyFont="1" applyFill="1" applyBorder="1" applyAlignment="1">
      <alignment horizontal="center" vertical="center"/>
    </xf>
    <xf numFmtId="3" fontId="10" fillId="42" borderId="131" xfId="1" applyNumberFormat="1" applyFont="1" applyFill="1" applyBorder="1" applyAlignment="1">
      <alignment horizontal="center" vertical="center"/>
    </xf>
    <xf numFmtId="3" fontId="10" fillId="42" borderId="58" xfId="1" applyNumberFormat="1" applyFont="1" applyFill="1" applyBorder="1" applyAlignment="1">
      <alignment horizontal="center" vertical="center"/>
    </xf>
    <xf numFmtId="3" fontId="10" fillId="42" borderId="144" xfId="1" applyNumberFormat="1" applyFont="1" applyFill="1" applyBorder="1" applyAlignment="1">
      <alignment horizontal="center" vertical="center"/>
    </xf>
    <xf numFmtId="0" fontId="51" fillId="61" borderId="176" xfId="0" applyFont="1" applyFill="1" applyBorder="1" applyAlignment="1">
      <alignment horizontal="center" vertical="center"/>
    </xf>
    <xf numFmtId="173" fontId="10" fillId="4" borderId="11" xfId="0" applyNumberFormat="1" applyFont="1" applyFill="1" applyBorder="1" applyAlignment="1">
      <alignment horizontal="center" vertical="center"/>
    </xf>
    <xf numFmtId="173" fontId="10" fillId="4" borderId="133" xfId="0" applyNumberFormat="1" applyFont="1" applyFill="1" applyBorder="1" applyAlignment="1">
      <alignment horizontal="center"/>
    </xf>
    <xf numFmtId="173" fontId="10" fillId="4" borderId="86" xfId="0" applyNumberFormat="1" applyFont="1" applyFill="1" applyBorder="1" applyAlignment="1">
      <alignment horizontal="center"/>
    </xf>
    <xf numFmtId="173" fontId="10" fillId="4" borderId="136" xfId="0" applyNumberFormat="1" applyFont="1" applyFill="1" applyBorder="1" applyAlignment="1">
      <alignment horizontal="center"/>
    </xf>
    <xf numFmtId="173" fontId="10" fillId="4" borderId="130" xfId="0" applyNumberFormat="1" applyFont="1" applyFill="1" applyBorder="1" applyAlignment="1">
      <alignment horizontal="center"/>
    </xf>
    <xf numFmtId="173" fontId="10" fillId="4" borderId="65" xfId="0" applyNumberFormat="1" applyFont="1" applyFill="1" applyBorder="1" applyAlignment="1">
      <alignment horizontal="center"/>
    </xf>
    <xf numFmtId="173" fontId="10" fillId="4" borderId="12" xfId="0" applyNumberFormat="1" applyFont="1" applyFill="1" applyBorder="1" applyAlignment="1">
      <alignment horizontal="center"/>
    </xf>
    <xf numFmtId="173" fontId="10" fillId="4" borderId="59" xfId="0" applyNumberFormat="1" applyFont="1" applyFill="1" applyBorder="1" applyAlignment="1">
      <alignment horizontal="center" vertical="center"/>
    </xf>
    <xf numFmtId="3" fontId="10" fillId="42" borderId="139" xfId="1" applyNumberFormat="1" applyFont="1" applyFill="1" applyBorder="1" applyAlignment="1">
      <alignment horizontal="center" vertical="center"/>
    </xf>
    <xf numFmtId="0" fontId="10" fillId="0" borderId="178" xfId="0" applyFont="1" applyBorder="1" applyAlignment="1">
      <alignment horizontal="center" vertical="center"/>
    </xf>
    <xf numFmtId="0" fontId="10" fillId="0" borderId="177" xfId="0" applyFont="1" applyBorder="1" applyAlignment="1">
      <alignment horizontal="center" vertical="center"/>
    </xf>
    <xf numFmtId="3" fontId="13" fillId="4" borderId="43" xfId="0" applyNumberFormat="1" applyFont="1" applyFill="1" applyBorder="1" applyAlignment="1">
      <alignment horizontal="center" vertical="center"/>
    </xf>
    <xf numFmtId="3" fontId="13" fillId="4" borderId="2" xfId="0" applyNumberFormat="1" applyFont="1" applyFill="1" applyBorder="1" applyAlignment="1">
      <alignment horizontal="center" vertical="center"/>
    </xf>
    <xf numFmtId="3" fontId="28" fillId="39" borderId="91" xfId="0" applyNumberFormat="1" applyFont="1" applyFill="1" applyBorder="1" applyAlignment="1">
      <alignment horizontal="center" vertical="center"/>
    </xf>
    <xf numFmtId="3" fontId="28" fillId="39" borderId="141" xfId="0" applyNumberFormat="1" applyFont="1" applyFill="1" applyBorder="1" applyAlignment="1">
      <alignment horizontal="center" vertical="center"/>
    </xf>
    <xf numFmtId="3" fontId="28" fillId="39" borderId="140" xfId="0" applyNumberFormat="1" applyFont="1" applyFill="1" applyBorder="1" applyAlignment="1">
      <alignment horizontal="center" vertical="center"/>
    </xf>
    <xf numFmtId="3" fontId="28" fillId="39" borderId="142" xfId="0" applyNumberFormat="1" applyFont="1" applyFill="1" applyBorder="1" applyAlignment="1">
      <alignment horizontal="center" vertical="center"/>
    </xf>
    <xf numFmtId="3" fontId="28" fillId="39" borderId="68" xfId="0" applyNumberFormat="1" applyFont="1" applyFill="1" applyBorder="1" applyAlignment="1">
      <alignment horizontal="center" vertical="center"/>
    </xf>
    <xf numFmtId="0" fontId="0" fillId="0" borderId="3" xfId="0" applyBorder="1" applyAlignment="1">
      <alignment wrapText="1"/>
    </xf>
    <xf numFmtId="3" fontId="10" fillId="36" borderId="131" xfId="0" applyNumberFormat="1" applyFont="1" applyFill="1" applyBorder="1" applyAlignment="1">
      <alignment horizontal="center" vertical="center"/>
    </xf>
    <xf numFmtId="1" fontId="28" fillId="0" borderId="58" xfId="0" applyNumberFormat="1" applyFont="1" applyFill="1" applyBorder="1" applyAlignment="1">
      <alignment horizontal="center" vertical="center"/>
    </xf>
    <xf numFmtId="1" fontId="28" fillId="0" borderId="90" xfId="0" applyNumberFormat="1" applyFont="1" applyFill="1" applyBorder="1" applyAlignment="1">
      <alignment horizontal="center" vertical="center"/>
    </xf>
    <xf numFmtId="1" fontId="28" fillId="0" borderId="95" xfId="0" applyNumberFormat="1" applyFont="1" applyFill="1" applyBorder="1" applyAlignment="1">
      <alignment horizontal="center" vertical="center"/>
    </xf>
    <xf numFmtId="0" fontId="69" fillId="61" borderId="155" xfId="10" applyFont="1" applyFill="1" applyBorder="1" applyAlignment="1">
      <alignment horizontal="center" wrapText="1"/>
    </xf>
    <xf numFmtId="1" fontId="28" fillId="4" borderId="155" xfId="10" applyNumberFormat="1" applyFont="1" applyFill="1" applyBorder="1" applyAlignment="1">
      <alignment horizontal="center"/>
    </xf>
    <xf numFmtId="0" fontId="69" fillId="61" borderId="88" xfId="110" applyFont="1" applyFill="1" applyBorder="1" applyAlignment="1">
      <alignment horizontal="center" vertical="center" wrapText="1"/>
    </xf>
    <xf numFmtId="187" fontId="28" fillId="0" borderId="129" xfId="110" applyNumberFormat="1" applyFont="1" applyFill="1" applyBorder="1" applyAlignment="1">
      <alignment horizontal="center" vertical="center" wrapText="1"/>
    </xf>
    <xf numFmtId="187" fontId="28" fillId="0" borderId="103" xfId="110" applyNumberFormat="1" applyFont="1" applyFill="1" applyBorder="1" applyAlignment="1">
      <alignment horizontal="center" vertical="center" wrapText="1"/>
    </xf>
    <xf numFmtId="187" fontId="28" fillId="0" borderId="98" xfId="110" applyNumberFormat="1" applyFont="1" applyFill="1" applyBorder="1" applyAlignment="1">
      <alignment horizontal="center" vertical="center" wrapText="1"/>
    </xf>
    <xf numFmtId="178" fontId="28" fillId="0" borderId="95" xfId="110" applyNumberFormat="1" applyFont="1" applyFill="1" applyBorder="1" applyAlignment="1">
      <alignment horizontal="center" vertical="center" wrapText="1"/>
    </xf>
    <xf numFmtId="1" fontId="28" fillId="4" borderId="146" xfId="10" applyNumberFormat="1" applyFont="1" applyFill="1" applyBorder="1" applyAlignment="1">
      <alignment horizontal="center"/>
    </xf>
    <xf numFmtId="0" fontId="69" fillId="61" borderId="15" xfId="110" applyFont="1" applyFill="1" applyBorder="1" applyAlignment="1">
      <alignment horizontal="center" vertical="center" wrapText="1"/>
    </xf>
    <xf numFmtId="0" fontId="69" fillId="61" borderId="77" xfId="10" applyFont="1" applyFill="1" applyBorder="1" applyAlignment="1">
      <alignment horizontal="center" wrapText="1"/>
    </xf>
    <xf numFmtId="178" fontId="28" fillId="0" borderId="96" xfId="110" applyNumberFormat="1" applyFont="1" applyFill="1" applyBorder="1" applyAlignment="1">
      <alignment horizontal="center" vertical="center" wrapText="1"/>
    </xf>
    <xf numFmtId="1" fontId="28" fillId="4" borderId="148" xfId="10" applyNumberFormat="1" applyFont="1" applyFill="1" applyBorder="1" applyAlignment="1">
      <alignment horizontal="center"/>
    </xf>
    <xf numFmtId="178" fontId="45" fillId="0" borderId="132" xfId="110" applyNumberFormat="1" applyFont="1" applyFill="1" applyBorder="1" applyAlignment="1">
      <alignment horizontal="center" vertical="center" wrapText="1"/>
    </xf>
    <xf numFmtId="1" fontId="45" fillId="4" borderId="150" xfId="10" applyNumberFormat="1" applyFont="1" applyFill="1" applyBorder="1" applyAlignment="1">
      <alignment horizontal="center"/>
    </xf>
    <xf numFmtId="178" fontId="45" fillId="0" borderId="63" xfId="110" applyNumberFormat="1" applyFont="1" applyFill="1" applyBorder="1" applyAlignment="1">
      <alignment horizontal="center" vertical="center" wrapText="1"/>
    </xf>
    <xf numFmtId="1" fontId="45" fillId="4" borderId="67" xfId="10" applyNumberFormat="1" applyFont="1" applyFill="1" applyBorder="1" applyAlignment="1">
      <alignment horizontal="center"/>
    </xf>
    <xf numFmtId="0" fontId="70" fillId="0" borderId="0" xfId="0" applyFont="1" applyFill="1" applyBorder="1" applyAlignment="1">
      <alignment wrapText="1"/>
    </xf>
    <xf numFmtId="0" fontId="10" fillId="4" borderId="0" xfId="0" applyFont="1" applyFill="1" applyBorder="1" applyAlignment="1">
      <alignment horizontal="left" vertical="top" wrapText="1"/>
    </xf>
    <xf numFmtId="0" fontId="28" fillId="0" borderId="12" xfId="110" applyFont="1" applyBorder="1" applyAlignment="1">
      <alignment horizontal="center" vertical="center" wrapText="1"/>
    </xf>
    <xf numFmtId="9" fontId="28" fillId="39" borderId="59" xfId="0" applyNumberFormat="1" applyFont="1" applyFill="1" applyBorder="1" applyAlignment="1">
      <alignment horizontal="center" vertical="center"/>
    </xf>
    <xf numFmtId="166" fontId="28" fillId="0" borderId="84" xfId="110" applyNumberFormat="1" applyFont="1" applyFill="1" applyBorder="1" applyAlignment="1">
      <alignment horizontal="center" vertical="center" wrapText="1"/>
    </xf>
    <xf numFmtId="166" fontId="28" fillId="0" borderId="96" xfId="110" applyNumberFormat="1" applyFont="1" applyFill="1" applyBorder="1" applyAlignment="1">
      <alignment horizontal="center" vertical="center" wrapText="1"/>
    </xf>
    <xf numFmtId="0" fontId="10" fillId="0" borderId="12" xfId="0" applyFont="1" applyBorder="1" applyAlignment="1">
      <alignment horizontal="center" vertical="center" wrapText="1"/>
    </xf>
    <xf numFmtId="3" fontId="28" fillId="72" borderId="109" xfId="0" applyNumberFormat="1" applyFont="1" applyFill="1" applyBorder="1" applyAlignment="1">
      <alignment horizontal="center" vertical="center"/>
    </xf>
    <xf numFmtId="3" fontId="28" fillId="72" borderId="80" xfId="0" applyNumberFormat="1" applyFont="1" applyFill="1" applyBorder="1" applyAlignment="1">
      <alignment horizontal="center" vertical="center"/>
    </xf>
    <xf numFmtId="3" fontId="28" fillId="72" borderId="78" xfId="0" applyNumberFormat="1" applyFont="1" applyFill="1" applyBorder="1" applyAlignment="1">
      <alignment horizontal="center" vertical="center"/>
    </xf>
    <xf numFmtId="3" fontId="28" fillId="72" borderId="97" xfId="0" applyNumberFormat="1" applyFont="1" applyFill="1" applyBorder="1" applyAlignment="1">
      <alignment horizontal="center" vertical="center"/>
    </xf>
    <xf numFmtId="3" fontId="28" fillId="39" borderId="45" xfId="0" applyNumberFormat="1" applyFont="1" applyFill="1" applyBorder="1" applyAlignment="1">
      <alignment horizontal="center" vertical="center"/>
    </xf>
    <xf numFmtId="3" fontId="28" fillId="39" borderId="108" xfId="0" applyNumberFormat="1" applyFont="1" applyFill="1" applyBorder="1" applyAlignment="1">
      <alignment horizontal="center" vertical="center"/>
    </xf>
    <xf numFmtId="3" fontId="28" fillId="36" borderId="109" xfId="0" applyNumberFormat="1" applyFont="1" applyFill="1" applyBorder="1" applyAlignment="1">
      <alignment horizontal="center" vertical="center"/>
    </xf>
    <xf numFmtId="0" fontId="10" fillId="4" borderId="127" xfId="0" applyFont="1" applyFill="1" applyBorder="1" applyAlignment="1">
      <alignment horizontal="left" vertical="top" wrapText="1"/>
    </xf>
    <xf numFmtId="0" fontId="10" fillId="4" borderId="0" xfId="0" applyFont="1" applyFill="1" applyBorder="1" applyAlignment="1">
      <alignment horizontal="left" vertical="top" wrapText="1"/>
    </xf>
    <xf numFmtId="0" fontId="10" fillId="4" borderId="110" xfId="0" applyFont="1" applyFill="1" applyBorder="1" applyAlignment="1">
      <alignment horizontal="left" vertical="top" wrapText="1"/>
    </xf>
    <xf numFmtId="0" fontId="69" fillId="76" borderId="43" xfId="0" applyFont="1" applyFill="1" applyBorder="1" applyAlignment="1">
      <alignment horizontal="left" vertical="top" wrapText="1"/>
    </xf>
    <xf numFmtId="0" fontId="69" fillId="76" borderId="2" xfId="0" applyFont="1" applyFill="1" applyBorder="1" applyAlignment="1">
      <alignment horizontal="left" vertical="top" wrapText="1"/>
    </xf>
    <xf numFmtId="0" fontId="69" fillId="76" borderId="16" xfId="0" applyFont="1" applyFill="1" applyBorder="1" applyAlignment="1">
      <alignment horizontal="left" vertical="top" wrapText="1"/>
    </xf>
    <xf numFmtId="0" fontId="10" fillId="4" borderId="40" xfId="0" applyFont="1" applyFill="1" applyBorder="1" applyAlignment="1">
      <alignment horizontal="left" vertical="top" wrapText="1"/>
    </xf>
    <xf numFmtId="0" fontId="0" fillId="4" borderId="23" xfId="0" applyFill="1" applyBorder="1" applyAlignment="1">
      <alignment horizontal="left" vertical="top" wrapText="1"/>
    </xf>
    <xf numFmtId="0" fontId="0" fillId="4" borderId="101" xfId="0" applyFill="1" applyBorder="1" applyAlignment="1">
      <alignment horizontal="left" vertical="top" wrapText="1"/>
    </xf>
    <xf numFmtId="0" fontId="0" fillId="4" borderId="109" xfId="0" applyFill="1" applyBorder="1" applyAlignment="1">
      <alignment horizontal="left" vertical="top" wrapText="1"/>
    </xf>
    <xf numFmtId="0" fontId="0" fillId="4" borderId="154" xfId="0" applyFill="1" applyBorder="1" applyAlignment="1">
      <alignment horizontal="left" vertical="top" wrapText="1"/>
    </xf>
    <xf numFmtId="0" fontId="0" fillId="4" borderId="161" xfId="0" applyFill="1" applyBorder="1" applyAlignment="1">
      <alignment horizontal="left" vertical="top" wrapText="1"/>
    </xf>
    <xf numFmtId="0" fontId="10" fillId="4" borderId="113" xfId="0" applyFont="1" applyFill="1" applyBorder="1" applyAlignment="1">
      <alignment horizontal="left" vertical="top" wrapText="1"/>
    </xf>
    <xf numFmtId="0" fontId="0" fillId="4" borderId="66" xfId="0" applyFill="1" applyBorder="1" applyAlignment="1">
      <alignment horizontal="left" vertical="top" wrapText="1"/>
    </xf>
    <xf numFmtId="0" fontId="0" fillId="4" borderId="67" xfId="0" applyFill="1" applyBorder="1" applyAlignment="1">
      <alignment horizontal="left" vertical="top" wrapText="1"/>
    </xf>
    <xf numFmtId="0" fontId="10" fillId="4" borderId="109" xfId="0" applyFont="1" applyFill="1" applyBorder="1" applyAlignment="1">
      <alignment horizontal="left" vertical="top" wrapText="1"/>
    </xf>
    <xf numFmtId="0" fontId="10" fillId="4" borderId="154" xfId="0" applyFont="1" applyFill="1" applyBorder="1" applyAlignment="1">
      <alignment horizontal="left" vertical="top" wrapText="1"/>
    </xf>
    <xf numFmtId="0" fontId="10" fillId="4" borderId="161" xfId="0" applyFont="1" applyFill="1" applyBorder="1" applyAlignment="1">
      <alignment horizontal="left" vertical="top" wrapText="1"/>
    </xf>
    <xf numFmtId="0" fontId="10" fillId="0" borderId="1" xfId="0" applyFont="1" applyFill="1" applyBorder="1" applyAlignment="1">
      <alignment horizontal="left" vertical="top" wrapText="1"/>
    </xf>
    <xf numFmtId="0" fontId="0" fillId="0" borderId="16" xfId="0" applyBorder="1" applyAlignment="1">
      <alignment horizontal="left" vertical="top" wrapText="1"/>
    </xf>
    <xf numFmtId="0" fontId="10" fillId="0" borderId="25" xfId="0" applyFont="1" applyFill="1" applyBorder="1" applyAlignment="1">
      <alignment horizontal="left" vertical="top" wrapText="1"/>
    </xf>
    <xf numFmtId="0" fontId="10" fillId="0" borderId="29" xfId="0" applyFont="1" applyFill="1" applyBorder="1" applyAlignment="1">
      <alignment horizontal="left" vertical="top" wrapText="1"/>
    </xf>
    <xf numFmtId="0" fontId="10" fillId="0" borderId="10" xfId="0" applyFont="1" applyFill="1" applyBorder="1" applyAlignment="1">
      <alignment horizontal="left" vertical="top" wrapText="1"/>
    </xf>
    <xf numFmtId="0" fontId="10" fillId="0" borderId="18" xfId="0" applyFont="1" applyFill="1" applyBorder="1" applyAlignment="1">
      <alignment horizontal="left" vertical="top" wrapText="1"/>
    </xf>
    <xf numFmtId="0" fontId="70" fillId="61" borderId="1" xfId="0" applyFont="1" applyFill="1" applyBorder="1" applyAlignment="1">
      <alignment wrapText="1"/>
    </xf>
    <xf numFmtId="0" fontId="0" fillId="0" borderId="2" xfId="0" applyBorder="1" applyAlignment="1">
      <alignment wrapText="1"/>
    </xf>
    <xf numFmtId="0" fontId="0" fillId="0" borderId="16" xfId="0" applyBorder="1" applyAlignment="1">
      <alignment wrapText="1"/>
    </xf>
    <xf numFmtId="0" fontId="10" fillId="0" borderId="16" xfId="0" applyFont="1" applyFill="1" applyBorder="1" applyAlignment="1">
      <alignment horizontal="left" vertical="top" wrapText="1"/>
    </xf>
    <xf numFmtId="0" fontId="70" fillId="61" borderId="1" xfId="0" applyFont="1" applyFill="1" applyBorder="1" applyAlignment="1">
      <alignment horizontal="left" vertical="top" wrapText="1"/>
    </xf>
    <xf numFmtId="0" fontId="17" fillId="0" borderId="2" xfId="0" applyFont="1" applyBorder="1" applyAlignment="1">
      <alignment horizontal="left" vertical="top" wrapText="1"/>
    </xf>
    <xf numFmtId="0" fontId="17" fillId="0" borderId="16" xfId="0" applyFont="1" applyBorder="1" applyAlignment="1">
      <alignment horizontal="left" vertical="top" wrapText="1"/>
    </xf>
    <xf numFmtId="0" fontId="10" fillId="0" borderId="2" xfId="0" applyFont="1" applyFill="1" applyBorder="1" applyAlignment="1">
      <alignment horizontal="left" vertical="top" wrapText="1"/>
    </xf>
    <xf numFmtId="0" fontId="74" fillId="69" borderId="1" xfId="0" applyFont="1" applyFill="1" applyBorder="1" applyAlignment="1">
      <alignment horizontal="center" vertical="center" wrapText="1"/>
    </xf>
    <xf numFmtId="0" fontId="28" fillId="69" borderId="2" xfId="0" applyFont="1" applyFill="1" applyBorder="1" applyAlignment="1">
      <alignment horizontal="center" vertical="center" wrapText="1"/>
    </xf>
    <xf numFmtId="0" fontId="70" fillId="61" borderId="2" xfId="0" applyFont="1" applyFill="1" applyBorder="1" applyAlignment="1">
      <alignment horizontal="left" vertical="top" wrapText="1"/>
    </xf>
    <xf numFmtId="0" fontId="70" fillId="61" borderId="16" xfId="0" applyFont="1" applyFill="1" applyBorder="1" applyAlignment="1">
      <alignment horizontal="left" vertical="top" wrapText="1"/>
    </xf>
    <xf numFmtId="0" fontId="10" fillId="0" borderId="15" xfId="0" applyFont="1" applyFill="1" applyBorder="1" applyAlignment="1">
      <alignment horizontal="left" vertical="top" wrapText="1"/>
    </xf>
    <xf numFmtId="0" fontId="10" fillId="0" borderId="82" xfId="0" applyFont="1" applyFill="1" applyBorder="1" applyAlignment="1">
      <alignment horizontal="left" vertical="top" wrapText="1"/>
    </xf>
    <xf numFmtId="0" fontId="10" fillId="0" borderId="83" xfId="0" applyFont="1" applyFill="1" applyBorder="1" applyAlignment="1">
      <alignment horizontal="left" vertical="top" wrapText="1"/>
    </xf>
    <xf numFmtId="0" fontId="10" fillId="0" borderId="4" xfId="0" applyFont="1" applyFill="1" applyBorder="1" applyAlignment="1">
      <alignment horizontal="left" vertical="top" wrapText="1"/>
    </xf>
    <xf numFmtId="0" fontId="10" fillId="0" borderId="21" xfId="0" applyFont="1" applyFill="1" applyBorder="1" applyAlignment="1">
      <alignment horizontal="left" vertical="top" wrapText="1"/>
    </xf>
    <xf numFmtId="0" fontId="10" fillId="0" borderId="22" xfId="0" applyFont="1" applyFill="1" applyBorder="1" applyAlignment="1">
      <alignment horizontal="left" vertical="top" wrapText="1"/>
    </xf>
    <xf numFmtId="0" fontId="10" fillId="0" borderId="86" xfId="0" applyFont="1" applyFill="1" applyBorder="1" applyAlignment="1">
      <alignment horizontal="left" vertical="top" wrapText="1"/>
    </xf>
    <xf numFmtId="0" fontId="93" fillId="4" borderId="1" xfId="0" applyNumberFormat="1" applyFont="1" applyFill="1" applyBorder="1" applyAlignment="1">
      <alignment horizontal="center" vertical="center" wrapText="1"/>
    </xf>
    <xf numFmtId="0" fontId="93" fillId="4" borderId="2" xfId="0" applyNumberFormat="1" applyFont="1" applyFill="1" applyBorder="1" applyAlignment="1">
      <alignment horizontal="center" vertical="center" wrapText="1"/>
    </xf>
    <xf numFmtId="0" fontId="93" fillId="4" borderId="16" xfId="0" applyNumberFormat="1" applyFont="1" applyFill="1" applyBorder="1" applyAlignment="1">
      <alignment horizontal="center" vertical="center" wrapText="1"/>
    </xf>
    <xf numFmtId="0" fontId="10" fillId="0" borderId="42" xfId="0" applyFont="1" applyFill="1" applyBorder="1" applyAlignment="1">
      <alignment horizontal="left" vertical="top" wrapText="1"/>
    </xf>
    <xf numFmtId="0" fontId="70" fillId="61" borderId="1" xfId="0" applyFont="1" applyFill="1" applyBorder="1" applyAlignment="1">
      <alignment horizontal="center" vertical="top" wrapText="1"/>
    </xf>
    <xf numFmtId="0" fontId="70" fillId="61" borderId="16" xfId="0" applyFont="1" applyFill="1" applyBorder="1" applyAlignment="1">
      <alignment horizontal="center" vertical="top" wrapText="1"/>
    </xf>
    <xf numFmtId="0" fontId="10" fillId="0" borderId="63" xfId="0" applyFont="1" applyFill="1" applyBorder="1" applyAlignment="1">
      <alignment horizontal="left" vertical="top" wrapText="1"/>
    </xf>
    <xf numFmtId="0" fontId="10" fillId="0" borderId="64" xfId="0" applyFont="1" applyFill="1" applyBorder="1" applyAlignment="1">
      <alignment horizontal="left" vertical="top" wrapText="1"/>
    </xf>
    <xf numFmtId="0" fontId="10" fillId="36" borderId="1" xfId="0" applyFont="1" applyFill="1" applyBorder="1" applyAlignment="1">
      <alignment horizontal="left" vertical="top" wrapText="1"/>
    </xf>
    <xf numFmtId="0" fontId="10" fillId="36" borderId="16" xfId="0" applyFont="1" applyFill="1" applyBorder="1" applyAlignment="1">
      <alignment horizontal="left" vertical="top" wrapText="1"/>
    </xf>
    <xf numFmtId="0" fontId="70" fillId="74" borderId="1" xfId="0" applyFont="1" applyFill="1" applyBorder="1" applyAlignment="1">
      <alignment horizontal="center" wrapText="1"/>
    </xf>
    <xf numFmtId="0" fontId="70" fillId="74" borderId="2" xfId="0" applyFont="1" applyFill="1" applyBorder="1" applyAlignment="1">
      <alignment horizontal="center" wrapText="1"/>
    </xf>
    <xf numFmtId="0" fontId="70" fillId="74" borderId="16" xfId="0" applyFont="1" applyFill="1" applyBorder="1" applyAlignment="1">
      <alignment horizontal="center" wrapText="1"/>
    </xf>
    <xf numFmtId="0" fontId="10" fillId="4" borderId="1" xfId="0" applyFont="1" applyFill="1" applyBorder="1" applyAlignment="1">
      <alignment horizontal="left" vertical="top" wrapText="1"/>
    </xf>
    <xf numFmtId="0" fontId="10" fillId="4" borderId="42" xfId="0" applyFont="1" applyFill="1" applyBorder="1" applyAlignment="1">
      <alignment horizontal="left" vertical="top" wrapText="1"/>
    </xf>
    <xf numFmtId="0" fontId="70" fillId="74" borderId="1" xfId="0" applyFont="1" applyFill="1" applyBorder="1" applyAlignment="1">
      <alignment horizontal="center" vertical="center" wrapText="1"/>
    </xf>
    <xf numFmtId="0" fontId="70" fillId="74" borderId="2" xfId="0" applyFont="1" applyFill="1" applyBorder="1" applyAlignment="1">
      <alignment horizontal="center" vertical="center" wrapText="1"/>
    </xf>
    <xf numFmtId="0" fontId="70" fillId="74" borderId="16" xfId="0" applyFont="1" applyFill="1" applyBorder="1" applyAlignment="1">
      <alignment horizontal="center" vertical="center" wrapText="1"/>
    </xf>
    <xf numFmtId="0" fontId="74" fillId="69" borderId="2" xfId="0" applyFont="1" applyFill="1" applyBorder="1" applyAlignment="1">
      <alignment horizontal="center" vertical="center" wrapText="1"/>
    </xf>
    <xf numFmtId="0" fontId="74" fillId="69" borderId="16" xfId="0" applyFont="1" applyFill="1" applyBorder="1" applyAlignment="1">
      <alignment horizontal="center" vertical="center" wrapText="1"/>
    </xf>
    <xf numFmtId="0" fontId="10" fillId="0" borderId="5" xfId="0" applyFont="1" applyFill="1" applyBorder="1" applyAlignment="1">
      <alignment horizontal="left" vertical="top" wrapText="1"/>
    </xf>
    <xf numFmtId="0" fontId="70" fillId="61" borderId="10" xfId="0" applyFont="1" applyFill="1" applyBorder="1" applyAlignment="1">
      <alignment horizontal="left" vertical="center" wrapText="1"/>
    </xf>
    <xf numFmtId="0" fontId="0" fillId="0" borderId="11" xfId="0" applyBorder="1" applyAlignment="1">
      <alignment wrapText="1"/>
    </xf>
    <xf numFmtId="0" fontId="13" fillId="66" borderId="1" xfId="0" applyFont="1" applyFill="1" applyBorder="1" applyAlignment="1">
      <alignment horizontal="left" vertical="top" wrapText="1"/>
    </xf>
    <xf numFmtId="0" fontId="13" fillId="66" borderId="2" xfId="0" applyFont="1" applyFill="1" applyBorder="1" applyAlignment="1">
      <alignment horizontal="left" vertical="top" wrapText="1"/>
    </xf>
    <xf numFmtId="0" fontId="13" fillId="66" borderId="16" xfId="0" applyFont="1" applyFill="1" applyBorder="1" applyAlignment="1">
      <alignment horizontal="left" vertical="top" wrapText="1"/>
    </xf>
    <xf numFmtId="0" fontId="70" fillId="61" borderId="4" xfId="0" applyFont="1" applyFill="1" applyBorder="1" applyAlignment="1">
      <alignment horizontal="left" vertical="center" wrapText="1"/>
    </xf>
    <xf numFmtId="0" fontId="0" fillId="0" borderId="21" xfId="0" applyBorder="1" applyAlignment="1">
      <alignment wrapText="1"/>
    </xf>
    <xf numFmtId="0" fontId="0" fillId="0" borderId="5" xfId="0" applyBorder="1" applyAlignment="1">
      <alignment wrapText="1"/>
    </xf>
    <xf numFmtId="0" fontId="70" fillId="61" borderId="1" xfId="0" applyFont="1" applyFill="1" applyBorder="1" applyAlignment="1">
      <alignment horizontal="left" vertical="center" wrapText="1"/>
    </xf>
    <xf numFmtId="0" fontId="0" fillId="0" borderId="2" xfId="0" applyBorder="1" applyAlignment="1">
      <alignment horizontal="left" vertical="center" wrapText="1"/>
    </xf>
    <xf numFmtId="0" fontId="0" fillId="0" borderId="16" xfId="0" applyBorder="1" applyAlignment="1">
      <alignment horizontal="left" vertical="center" wrapText="1"/>
    </xf>
    <xf numFmtId="0" fontId="0" fillId="0" borderId="16" xfId="0" applyFill="1" applyBorder="1" applyAlignment="1">
      <alignment wrapText="1"/>
    </xf>
    <xf numFmtId="0" fontId="28" fillId="0" borderId="168" xfId="10" applyFont="1" applyBorder="1" applyAlignment="1">
      <alignment horizontal="center" vertical="center"/>
    </xf>
    <xf numFmtId="0" fontId="28" fillId="0" borderId="169" xfId="10" applyFont="1" applyBorder="1" applyAlignment="1">
      <alignment horizontal="center" vertical="center"/>
    </xf>
    <xf numFmtId="0" fontId="28" fillId="0" borderId="171" xfId="10" applyFont="1" applyBorder="1" applyAlignment="1">
      <alignment horizontal="center" vertical="center"/>
    </xf>
    <xf numFmtId="0" fontId="69" fillId="61" borderId="40" xfId="0" applyFont="1" applyFill="1" applyBorder="1" applyAlignment="1">
      <alignment horizontal="center" vertical="center" wrapText="1"/>
    </xf>
    <xf numFmtId="0" fontId="69" fillId="61" borderId="86" xfId="0" applyFont="1" applyFill="1" applyBorder="1" applyAlignment="1">
      <alignment horizontal="center" vertical="center" wrapText="1"/>
    </xf>
    <xf numFmtId="3" fontId="0" fillId="39" borderId="135" xfId="0" applyNumberFormat="1" applyFill="1" applyBorder="1" applyAlignment="1">
      <alignment horizontal="center" vertical="center"/>
    </xf>
    <xf numFmtId="3" fontId="0" fillId="39" borderId="139" xfId="0" applyNumberFormat="1" applyFill="1" applyBorder="1" applyAlignment="1">
      <alignment horizontal="center" vertical="center"/>
    </xf>
    <xf numFmtId="0" fontId="94" fillId="69" borderId="1" xfId="2" applyFont="1" applyFill="1" applyBorder="1" applyAlignment="1" applyProtection="1">
      <alignment horizontal="left" vertical="center" wrapText="1"/>
    </xf>
    <xf numFmtId="0" fontId="94" fillId="69" borderId="2" xfId="2" applyFont="1" applyFill="1" applyBorder="1" applyAlignment="1" applyProtection="1">
      <alignment horizontal="left" vertical="center" wrapText="1"/>
    </xf>
    <xf numFmtId="0" fontId="94" fillId="69" borderId="16" xfId="2" applyFont="1" applyFill="1" applyBorder="1" applyAlignment="1" applyProtection="1">
      <alignment horizontal="left" vertical="center" wrapText="1"/>
    </xf>
    <xf numFmtId="0" fontId="28" fillId="0" borderId="167" xfId="10" applyFont="1" applyBorder="1" applyAlignment="1">
      <alignment horizontal="center" vertical="center"/>
    </xf>
    <xf numFmtId="0" fontId="28" fillId="0" borderId="163" xfId="10" applyFont="1" applyBorder="1" applyAlignment="1">
      <alignment horizontal="center" vertical="center"/>
    </xf>
    <xf numFmtId="0" fontId="28" fillId="0" borderId="164" xfId="10" applyFont="1" applyBorder="1" applyAlignment="1">
      <alignment horizontal="center" vertical="center"/>
    </xf>
    <xf numFmtId="0" fontId="28" fillId="0" borderId="165" xfId="10" applyFont="1" applyBorder="1" applyAlignment="1">
      <alignment horizontal="center" vertical="center"/>
    </xf>
    <xf numFmtId="0" fontId="28" fillId="0" borderId="166" xfId="10" applyFont="1" applyBorder="1" applyAlignment="1">
      <alignment horizontal="center" vertical="center"/>
    </xf>
    <xf numFmtId="0" fontId="28" fillId="0" borderId="170" xfId="10" applyFont="1" applyBorder="1" applyAlignment="1">
      <alignment horizontal="center" vertical="center"/>
    </xf>
    <xf numFmtId="0" fontId="69" fillId="61" borderId="3" xfId="110" applyFont="1" applyFill="1" applyBorder="1" applyAlignment="1">
      <alignment horizontal="center" vertical="center"/>
    </xf>
    <xf numFmtId="0" fontId="69" fillId="61" borderId="0" xfId="110" applyFont="1" applyFill="1" applyBorder="1" applyAlignment="1">
      <alignment horizontal="center" vertical="center"/>
    </xf>
    <xf numFmtId="0" fontId="69" fillId="61" borderId="152" xfId="110" applyFont="1" applyFill="1" applyBorder="1" applyAlignment="1">
      <alignment horizontal="center" vertical="center"/>
    </xf>
    <xf numFmtId="0" fontId="94" fillId="69" borderId="4" xfId="2" applyFont="1" applyFill="1" applyBorder="1" applyAlignment="1" applyProtection="1">
      <alignment horizontal="left" vertical="center" wrapText="1"/>
    </xf>
    <xf numFmtId="0" fontId="94" fillId="69" borderId="21" xfId="2" applyFont="1" applyFill="1" applyBorder="1" applyAlignment="1" applyProtection="1">
      <alignment horizontal="left" vertical="center" wrapText="1"/>
    </xf>
    <xf numFmtId="0" fontId="94" fillId="69" borderId="5" xfId="2" applyFont="1" applyFill="1" applyBorder="1" applyAlignment="1" applyProtection="1">
      <alignment horizontal="left" vertical="center" wrapText="1"/>
    </xf>
    <xf numFmtId="0" fontId="10" fillId="4" borderId="12" xfId="0" applyFont="1" applyFill="1" applyBorder="1" applyAlignment="1">
      <alignment horizontal="center" vertical="center" wrapText="1"/>
    </xf>
    <xf numFmtId="0" fontId="10" fillId="4" borderId="58" xfId="0" applyFont="1" applyFill="1" applyBorder="1" applyAlignment="1">
      <alignment horizontal="center" vertical="center" wrapText="1"/>
    </xf>
    <xf numFmtId="0" fontId="69" fillId="61" borderId="15" xfId="0" applyFont="1" applyFill="1" applyBorder="1" applyAlignment="1">
      <alignment horizontal="center" vertical="center" wrapText="1"/>
    </xf>
    <xf numFmtId="0" fontId="69" fillId="61" borderId="114" xfId="0" applyFont="1" applyFill="1" applyBorder="1" applyAlignment="1">
      <alignment horizontal="center" vertical="center" wrapText="1"/>
    </xf>
    <xf numFmtId="0" fontId="28" fillId="0" borderId="112" xfId="10" applyFont="1" applyBorder="1" applyAlignment="1">
      <alignment horizontal="center" vertical="center"/>
    </xf>
    <xf numFmtId="0" fontId="28" fillId="0" borderId="159" xfId="10" applyFont="1" applyBorder="1" applyAlignment="1">
      <alignment horizontal="center" vertical="center"/>
    </xf>
    <xf numFmtId="0" fontId="28" fillId="0" borderId="140" xfId="10" applyFont="1" applyBorder="1" applyAlignment="1">
      <alignment horizontal="center" vertical="center"/>
    </xf>
    <xf numFmtId="0" fontId="70" fillId="60" borderId="1" xfId="19" applyFont="1" applyFill="1" applyBorder="1" applyAlignment="1">
      <alignment wrapText="1"/>
    </xf>
    <xf numFmtId="0" fontId="10" fillId="39" borderId="29" xfId="19" applyFont="1" applyFill="1" applyBorder="1" applyAlignment="1">
      <alignment horizontal="center" vertical="center" wrapText="1"/>
    </xf>
    <xf numFmtId="0" fontId="10" fillId="39" borderId="27" xfId="19" applyFont="1" applyFill="1" applyBorder="1" applyAlignment="1">
      <alignment horizontal="center" vertical="center" wrapText="1"/>
    </xf>
    <xf numFmtId="0" fontId="10" fillId="39" borderId="137" xfId="19" applyFont="1" applyFill="1" applyBorder="1" applyAlignment="1">
      <alignment horizontal="center" vertical="center" wrapText="1"/>
    </xf>
    <xf numFmtId="0" fontId="10" fillId="0" borderId="8" xfId="0" applyFont="1" applyBorder="1" applyAlignment="1">
      <alignment horizontal="center" vertical="center" wrapText="1"/>
    </xf>
    <xf numFmtId="0" fontId="13" fillId="38" borderId="25" xfId="19" applyFont="1" applyFill="1" applyBorder="1" applyAlignment="1">
      <alignment horizontal="center" vertical="center" wrapText="1"/>
    </xf>
    <xf numFmtId="0" fontId="0" fillId="0" borderId="28" xfId="0" applyBorder="1" applyAlignment="1">
      <alignment horizontal="center" vertical="center" wrapText="1"/>
    </xf>
    <xf numFmtId="0" fontId="0" fillId="0" borderId="63" xfId="0" applyBorder="1" applyAlignment="1">
      <alignment horizontal="center" vertical="center" wrapText="1"/>
    </xf>
    <xf numFmtId="0" fontId="10" fillId="40" borderId="27" xfId="19" applyFont="1" applyFill="1" applyBorder="1" applyAlignment="1">
      <alignment horizontal="center" vertical="center" wrapText="1"/>
    </xf>
    <xf numFmtId="0" fontId="10" fillId="0" borderId="27" xfId="0" applyFont="1" applyBorder="1" applyAlignment="1">
      <alignment horizontal="center" vertical="center" wrapText="1"/>
    </xf>
    <xf numFmtId="0" fontId="10" fillId="40" borderId="62" xfId="19" applyFont="1" applyFill="1" applyBorder="1" applyAlignment="1">
      <alignment horizontal="center" vertical="center" wrapText="1"/>
    </xf>
    <xf numFmtId="0" fontId="13" fillId="40" borderId="25" xfId="19" applyFont="1" applyFill="1" applyBorder="1" applyAlignment="1">
      <alignment horizontal="center" vertical="center" wrapText="1"/>
    </xf>
    <xf numFmtId="0" fontId="10" fillId="0" borderId="28" xfId="0" applyFont="1" applyBorder="1" applyAlignment="1">
      <alignment horizontal="center" vertical="center" wrapText="1"/>
    </xf>
    <xf numFmtId="0" fontId="10" fillId="0" borderId="63" xfId="0" applyFont="1" applyBorder="1" applyAlignment="1">
      <alignment horizontal="center" vertical="center" wrapText="1"/>
    </xf>
    <xf numFmtId="0" fontId="19" fillId="35" borderId="12" xfId="19" applyFont="1" applyFill="1" applyBorder="1" applyAlignment="1">
      <alignment horizontal="left" vertical="top" wrapText="1"/>
    </xf>
    <xf numFmtId="0" fontId="19" fillId="0" borderId="58" xfId="0" applyFont="1" applyBorder="1" applyAlignment="1">
      <alignment horizontal="left" vertical="top" wrapText="1"/>
    </xf>
    <xf numFmtId="0" fontId="19" fillId="0" borderId="59" xfId="0" applyFont="1" applyBorder="1" applyAlignment="1">
      <alignment horizontal="left" vertical="top" wrapText="1"/>
    </xf>
    <xf numFmtId="0" fontId="13" fillId="41" borderId="25" xfId="19" applyFont="1" applyFill="1" applyBorder="1" applyAlignment="1">
      <alignment horizontal="center" vertical="center" wrapText="1"/>
    </xf>
    <xf numFmtId="0" fontId="13" fillId="41" borderId="28" xfId="19" applyFont="1" applyFill="1" applyBorder="1" applyAlignment="1">
      <alignment horizontal="center" vertical="center" wrapText="1"/>
    </xf>
    <xf numFmtId="0" fontId="13" fillId="41" borderId="30" xfId="19" applyFont="1" applyFill="1" applyBorder="1" applyAlignment="1">
      <alignment horizontal="center" vertical="center" wrapText="1"/>
    </xf>
    <xf numFmtId="0" fontId="13" fillId="35" borderId="1" xfId="19" applyFont="1" applyFill="1" applyBorder="1" applyAlignment="1">
      <alignment horizontal="right" wrapText="1"/>
    </xf>
    <xf numFmtId="0" fontId="13" fillId="35" borderId="2" xfId="19" applyFont="1" applyFill="1" applyBorder="1" applyAlignment="1">
      <alignment horizontal="right" wrapText="1"/>
    </xf>
    <xf numFmtId="0" fontId="0" fillId="0" borderId="42" xfId="0" applyBorder="1" applyAlignment="1">
      <alignment horizontal="right" wrapText="1"/>
    </xf>
    <xf numFmtId="0" fontId="69" fillId="60" borderId="29" xfId="19" applyFont="1" applyFill="1" applyBorder="1" applyAlignment="1">
      <alignment horizontal="center" vertical="center" wrapText="1"/>
    </xf>
    <xf numFmtId="0" fontId="0" fillId="0" borderId="64" xfId="0" applyBorder="1" applyAlignment="1">
      <alignment horizontal="center" vertical="center" wrapText="1"/>
    </xf>
    <xf numFmtId="0" fontId="13" fillId="40" borderId="28" xfId="19" applyFont="1" applyFill="1" applyBorder="1" applyAlignment="1">
      <alignment horizontal="center" vertical="center" wrapText="1"/>
    </xf>
    <xf numFmtId="0" fontId="13" fillId="41" borderId="63" xfId="19" applyFont="1" applyFill="1" applyBorder="1" applyAlignment="1">
      <alignment horizontal="center" vertical="center" wrapText="1"/>
    </xf>
    <xf numFmtId="0" fontId="10" fillId="40" borderId="137" xfId="19" applyFont="1" applyFill="1" applyBorder="1" applyAlignment="1">
      <alignment horizontal="center" vertical="center" wrapText="1"/>
    </xf>
    <xf numFmtId="0" fontId="69" fillId="60" borderId="25" xfId="19" applyFont="1" applyFill="1" applyBorder="1" applyAlignment="1">
      <alignment horizontal="center" vertical="center" wrapText="1"/>
    </xf>
    <xf numFmtId="0" fontId="74" fillId="0" borderId="15" xfId="19" applyFont="1" applyFill="1" applyBorder="1" applyAlignment="1">
      <alignment horizontal="center" vertical="center" wrapText="1"/>
    </xf>
    <xf numFmtId="0" fontId="74" fillId="0" borderId="82" xfId="19" applyFont="1" applyFill="1" applyBorder="1" applyAlignment="1">
      <alignment horizontal="center" vertical="center" wrapText="1"/>
    </xf>
    <xf numFmtId="0" fontId="74" fillId="0" borderId="83" xfId="19" applyFont="1" applyFill="1" applyBorder="1" applyAlignment="1">
      <alignment horizontal="center" vertical="center" wrapText="1"/>
    </xf>
    <xf numFmtId="0" fontId="10" fillId="4" borderId="40" xfId="0" applyNumberFormat="1" applyFont="1" applyFill="1" applyBorder="1" applyAlignment="1">
      <alignment horizontal="center" vertical="top" wrapText="1"/>
    </xf>
    <xf numFmtId="0" fontId="10" fillId="4" borderId="23" xfId="0" applyNumberFormat="1" applyFont="1" applyFill="1" applyBorder="1" applyAlignment="1">
      <alignment horizontal="center" vertical="top" wrapText="1"/>
    </xf>
    <xf numFmtId="0" fontId="10" fillId="4" borderId="101" xfId="0" applyNumberFormat="1" applyFont="1" applyFill="1" applyBorder="1" applyAlignment="1">
      <alignment horizontal="center" vertical="top" wrapText="1"/>
    </xf>
    <xf numFmtId="0" fontId="10" fillId="4" borderId="127" xfId="0" applyNumberFormat="1" applyFont="1" applyFill="1" applyBorder="1" applyAlignment="1">
      <alignment horizontal="center" vertical="top" wrapText="1"/>
    </xf>
    <xf numFmtId="0" fontId="10" fillId="4" borderId="0" xfId="0" applyNumberFormat="1" applyFont="1" applyFill="1" applyBorder="1" applyAlignment="1">
      <alignment horizontal="center" vertical="top" wrapText="1"/>
    </xf>
    <xf numFmtId="0" fontId="10" fillId="4" borderId="110" xfId="0" applyNumberFormat="1" applyFont="1" applyFill="1" applyBorder="1" applyAlignment="1">
      <alignment horizontal="center" vertical="top" wrapText="1"/>
    </xf>
    <xf numFmtId="0" fontId="69" fillId="61" borderId="2" xfId="0" applyFont="1" applyFill="1" applyBorder="1" applyAlignment="1">
      <alignment wrapText="1"/>
    </xf>
    <xf numFmtId="0" fontId="69" fillId="61" borderId="16" xfId="0" applyFont="1" applyFill="1" applyBorder="1" applyAlignment="1">
      <alignment wrapText="1"/>
    </xf>
    <xf numFmtId="0" fontId="45" fillId="38" borderId="7" xfId="19" applyFont="1" applyFill="1" applyBorder="1" applyAlignment="1">
      <alignment horizontal="center" vertical="center"/>
    </xf>
    <xf numFmtId="0" fontId="45" fillId="38" borderId="8" xfId="19" applyFont="1" applyFill="1" applyBorder="1" applyAlignment="1">
      <alignment horizontal="center" vertical="center"/>
    </xf>
    <xf numFmtId="0" fontId="45" fillId="40" borderId="56" xfId="19" applyFont="1" applyFill="1" applyBorder="1" applyAlignment="1">
      <alignment horizontal="center" vertical="center"/>
    </xf>
    <xf numFmtId="0" fontId="45" fillId="40" borderId="55" xfId="19" applyFont="1" applyFill="1" applyBorder="1" applyAlignment="1">
      <alignment horizontal="center" vertical="center"/>
    </xf>
    <xf numFmtId="0" fontId="45" fillId="41" borderId="56" xfId="19" applyFont="1" applyFill="1" applyBorder="1" applyAlignment="1">
      <alignment horizontal="center" vertical="center"/>
    </xf>
    <xf numFmtId="0" fontId="45" fillId="41" borderId="55" xfId="19" applyFont="1" applyFill="1" applyBorder="1" applyAlignment="1">
      <alignment horizontal="center" vertical="center"/>
    </xf>
    <xf numFmtId="0" fontId="13" fillId="35" borderId="12" xfId="19" applyFont="1" applyFill="1" applyBorder="1" applyAlignment="1">
      <alignment horizontal="center" vertical="center"/>
    </xf>
    <xf numFmtId="0" fontId="13" fillId="35" borderId="58" xfId="19" applyFont="1" applyFill="1" applyBorder="1" applyAlignment="1">
      <alignment horizontal="center" vertical="center"/>
    </xf>
    <xf numFmtId="0" fontId="10" fillId="4" borderId="72" xfId="0" applyNumberFormat="1" applyFont="1" applyFill="1" applyBorder="1" applyAlignment="1">
      <alignment horizontal="left" vertical="top" wrapText="1"/>
    </xf>
    <xf numFmtId="0" fontId="10" fillId="0" borderId="66" xfId="0" applyFont="1" applyBorder="1" applyAlignment="1">
      <alignment horizontal="left" vertical="top" wrapText="1"/>
    </xf>
    <xf numFmtId="0" fontId="10" fillId="0" borderId="67" xfId="0" applyFont="1" applyBorder="1" applyAlignment="1">
      <alignment horizontal="left" vertical="top" wrapText="1"/>
    </xf>
    <xf numFmtId="0" fontId="70" fillId="60" borderId="15" xfId="19" applyFont="1" applyFill="1" applyBorder="1" applyAlignment="1">
      <alignment horizontal="left" wrapText="1"/>
    </xf>
    <xf numFmtId="0" fontId="70" fillId="60" borderId="82" xfId="19" applyFont="1" applyFill="1" applyBorder="1" applyAlignment="1">
      <alignment horizontal="left" wrapText="1"/>
    </xf>
    <xf numFmtId="0" fontId="70" fillId="60" borderId="83" xfId="19" applyFont="1" applyFill="1" applyBorder="1" applyAlignment="1">
      <alignment horizontal="left" wrapText="1"/>
    </xf>
    <xf numFmtId="0" fontId="69" fillId="60" borderId="4" xfId="19" applyFont="1" applyFill="1" applyBorder="1" applyAlignment="1">
      <alignment horizontal="center" vertical="center" wrapText="1"/>
    </xf>
    <xf numFmtId="0" fontId="69" fillId="60" borderId="21" xfId="19" applyFont="1" applyFill="1" applyBorder="1" applyAlignment="1">
      <alignment horizontal="center" vertical="center" wrapText="1"/>
    </xf>
    <xf numFmtId="0" fontId="70" fillId="61" borderId="72" xfId="0" applyFont="1" applyFill="1" applyBorder="1" applyAlignment="1">
      <alignment horizontal="left" vertical="top" wrapText="1"/>
    </xf>
    <xf numFmtId="0" fontId="51" fillId="61" borderId="66" xfId="0" applyFont="1" applyFill="1" applyBorder="1" applyAlignment="1">
      <alignment horizontal="left" vertical="top" wrapText="1"/>
    </xf>
    <xf numFmtId="0" fontId="51" fillId="61" borderId="67" xfId="0" applyFont="1" applyFill="1" applyBorder="1" applyAlignment="1">
      <alignment horizontal="left" vertical="top" wrapText="1"/>
    </xf>
    <xf numFmtId="0" fontId="10" fillId="0" borderId="74" xfId="0" applyFont="1" applyFill="1" applyBorder="1" applyAlignment="1">
      <alignment horizontal="center" vertical="center" wrapText="1"/>
    </xf>
    <xf numFmtId="0" fontId="0" fillId="0" borderId="74" xfId="0" applyBorder="1" applyAlignment="1">
      <alignment horizontal="center" wrapText="1"/>
    </xf>
    <xf numFmtId="0" fontId="0" fillId="0" borderId="138" xfId="0" applyBorder="1" applyAlignment="1">
      <alignment horizontal="center" wrapText="1"/>
    </xf>
    <xf numFmtId="0" fontId="70" fillId="73" borderId="15" xfId="19" applyFont="1" applyFill="1" applyBorder="1" applyAlignment="1">
      <alignment horizontal="left" wrapText="1"/>
    </xf>
    <xf numFmtId="0" fontId="70" fillId="73" borderId="82" xfId="19" applyFont="1" applyFill="1" applyBorder="1" applyAlignment="1">
      <alignment horizontal="left" wrapText="1"/>
    </xf>
    <xf numFmtId="0" fontId="70" fillId="73" borderId="83" xfId="19" applyFont="1" applyFill="1" applyBorder="1" applyAlignment="1">
      <alignment horizontal="left" wrapText="1"/>
    </xf>
    <xf numFmtId="0" fontId="69" fillId="73" borderId="4" xfId="19" applyFont="1" applyFill="1" applyBorder="1" applyAlignment="1">
      <alignment horizontal="center" vertical="center" wrapText="1"/>
    </xf>
    <xf numFmtId="0" fontId="69" fillId="73" borderId="21" xfId="19" applyFont="1" applyFill="1" applyBorder="1" applyAlignment="1">
      <alignment horizontal="center" vertical="center" wrapText="1"/>
    </xf>
    <xf numFmtId="0" fontId="19" fillId="0" borderId="89" xfId="19" applyFont="1" applyFill="1" applyBorder="1" applyAlignment="1">
      <alignment horizontal="left" vertical="top" wrapText="1"/>
    </xf>
    <xf numFmtId="0" fontId="0" fillId="0" borderId="74" xfId="0" applyBorder="1" applyAlignment="1">
      <alignment horizontal="left" vertical="top" wrapText="1"/>
    </xf>
    <xf numFmtId="0" fontId="0" fillId="0" borderId="138" xfId="0" applyBorder="1" applyAlignment="1">
      <alignment horizontal="left" vertical="top" wrapText="1"/>
    </xf>
    <xf numFmtId="0" fontId="10" fillId="39" borderId="25" xfId="19" applyFont="1" applyFill="1" applyBorder="1" applyAlignment="1">
      <alignment horizontal="center" vertical="center" wrapText="1"/>
    </xf>
    <xf numFmtId="0" fontId="0" fillId="39" borderId="28" xfId="0" applyFill="1" applyBorder="1" applyAlignment="1">
      <alignment horizontal="center" vertical="center" wrapText="1"/>
    </xf>
    <xf numFmtId="0" fontId="0" fillId="39" borderId="63" xfId="0" applyFill="1" applyBorder="1" applyAlignment="1">
      <alignment horizontal="center" vertical="center" wrapText="1"/>
    </xf>
    <xf numFmtId="0" fontId="51" fillId="61" borderId="2" xfId="0" applyFont="1" applyFill="1" applyBorder="1" applyAlignment="1">
      <alignment wrapText="1"/>
    </xf>
    <xf numFmtId="0" fontId="51" fillId="61" borderId="16" xfId="0" applyFont="1" applyFill="1" applyBorder="1" applyAlignment="1">
      <alignment wrapText="1"/>
    </xf>
    <xf numFmtId="0" fontId="10" fillId="39" borderId="62" xfId="19" applyFont="1" applyFill="1" applyBorder="1" applyAlignment="1">
      <alignment horizontal="center" vertical="center" wrapText="1"/>
    </xf>
    <xf numFmtId="0" fontId="45" fillId="38" borderId="84" xfId="19" applyFont="1" applyFill="1" applyBorder="1" applyAlignment="1">
      <alignment horizontal="center" vertical="center" wrapText="1"/>
    </xf>
    <xf numFmtId="0" fontId="13" fillId="39" borderId="28" xfId="0" applyFont="1" applyFill="1" applyBorder="1" applyAlignment="1">
      <alignment horizontal="center" vertical="center" wrapText="1"/>
    </xf>
    <xf numFmtId="0" fontId="45" fillId="40" borderId="84" xfId="19" applyFont="1" applyFill="1" applyBorder="1" applyAlignment="1">
      <alignment horizontal="center" vertical="center" wrapText="1"/>
    </xf>
    <xf numFmtId="0" fontId="45" fillId="36" borderId="7" xfId="0" applyFont="1" applyFill="1" applyBorder="1" applyAlignment="1">
      <alignment horizontal="center" vertical="center" wrapText="1"/>
    </xf>
    <xf numFmtId="0" fontId="45" fillId="41" borderId="84" xfId="19" applyFont="1" applyFill="1" applyBorder="1" applyAlignment="1">
      <alignment horizontal="center" vertical="center" wrapText="1"/>
    </xf>
    <xf numFmtId="0" fontId="45" fillId="41" borderId="28" xfId="19" applyFont="1" applyFill="1" applyBorder="1" applyAlignment="1">
      <alignment horizontal="center" vertical="center" wrapText="1"/>
    </xf>
    <xf numFmtId="0" fontId="45" fillId="37" borderId="28" xfId="0" applyFont="1" applyFill="1" applyBorder="1" applyAlignment="1">
      <alignment horizontal="center" vertical="center" wrapText="1"/>
    </xf>
    <xf numFmtId="0" fontId="45" fillId="37" borderId="7" xfId="0" applyFont="1" applyFill="1" applyBorder="1" applyAlignment="1">
      <alignment horizontal="center" vertical="center" wrapText="1"/>
    </xf>
    <xf numFmtId="0" fontId="45" fillId="35" borderId="89" xfId="19" applyFont="1" applyFill="1" applyBorder="1" applyAlignment="1">
      <alignment horizontal="right" wrapText="1"/>
    </xf>
    <xf numFmtId="0" fontId="45" fillId="0" borderId="74" xfId="0" applyFont="1" applyBorder="1" applyAlignment="1">
      <alignment horizontal="right" wrapText="1"/>
    </xf>
    <xf numFmtId="0" fontId="69" fillId="61" borderId="29" xfId="0" applyFont="1" applyFill="1" applyBorder="1" applyAlignment="1">
      <alignment horizontal="center" vertical="center" wrapText="1"/>
    </xf>
    <xf numFmtId="0" fontId="69" fillId="61" borderId="64" xfId="0" applyFont="1" applyFill="1" applyBorder="1" applyAlignment="1">
      <alignment horizontal="center" vertical="center" wrapText="1"/>
    </xf>
    <xf numFmtId="0" fontId="69" fillId="61" borderId="26" xfId="0" applyFont="1" applyFill="1" applyBorder="1" applyAlignment="1">
      <alignment horizontal="center" vertical="center" wrapText="1"/>
    </xf>
    <xf numFmtId="0" fontId="69" fillId="61" borderId="65" xfId="0" applyFont="1" applyFill="1" applyBorder="1" applyAlignment="1">
      <alignment horizontal="center" vertical="center" wrapText="1"/>
    </xf>
    <xf numFmtId="0" fontId="28" fillId="35" borderId="82" xfId="19" applyFont="1" applyFill="1" applyBorder="1" applyAlignment="1">
      <alignment horizontal="left" wrapText="1"/>
    </xf>
    <xf numFmtId="0" fontId="28" fillId="35" borderId="0" xfId="19" applyFont="1" applyFill="1" applyBorder="1" applyAlignment="1">
      <alignment horizontal="left" wrapText="1"/>
    </xf>
    <xf numFmtId="0" fontId="70" fillId="60" borderId="1" xfId="19" applyFont="1" applyFill="1" applyBorder="1" applyAlignment="1">
      <alignment horizontal="left" wrapText="1"/>
    </xf>
    <xf numFmtId="0" fontId="70" fillId="60" borderId="2" xfId="19" applyFont="1" applyFill="1" applyBorder="1" applyAlignment="1">
      <alignment horizontal="left" wrapText="1"/>
    </xf>
    <xf numFmtId="0" fontId="70" fillId="60" borderId="16" xfId="19" applyFont="1" applyFill="1" applyBorder="1" applyAlignment="1">
      <alignment horizontal="left" wrapText="1"/>
    </xf>
    <xf numFmtId="0" fontId="45" fillId="40" borderId="28" xfId="19" applyFont="1" applyFill="1" applyBorder="1" applyAlignment="1">
      <alignment horizontal="center" vertical="center" wrapText="1"/>
    </xf>
    <xf numFmtId="0" fontId="70" fillId="60" borderId="1" xfId="19" applyFont="1" applyFill="1" applyBorder="1" applyAlignment="1">
      <alignment horizontal="left"/>
    </xf>
    <xf numFmtId="0" fontId="70" fillId="60" borderId="2" xfId="19" applyFont="1" applyFill="1" applyBorder="1" applyAlignment="1">
      <alignment horizontal="left"/>
    </xf>
    <xf numFmtId="0" fontId="0" fillId="0" borderId="16" xfId="0" applyBorder="1" applyAlignment="1"/>
    <xf numFmtId="0" fontId="45" fillId="62" borderId="7" xfId="19" applyFont="1" applyFill="1" applyBorder="1" applyAlignment="1">
      <alignment horizontal="center" vertical="center"/>
    </xf>
    <xf numFmtId="0" fontId="45" fillId="62" borderId="8" xfId="19" applyFont="1" applyFill="1" applyBorder="1" applyAlignment="1">
      <alignment horizontal="center" vertical="center"/>
    </xf>
    <xf numFmtId="0" fontId="45" fillId="40" borderId="132" xfId="19" applyFont="1" applyFill="1" applyBorder="1" applyAlignment="1">
      <alignment horizontal="center" vertical="center"/>
    </xf>
    <xf numFmtId="0" fontId="45" fillId="40" borderId="131" xfId="19" applyFont="1" applyFill="1" applyBorder="1" applyAlignment="1">
      <alignment horizontal="center" vertical="center"/>
    </xf>
    <xf numFmtId="0" fontId="45" fillId="41" borderId="132" xfId="19" applyFont="1" applyFill="1" applyBorder="1" applyAlignment="1">
      <alignment horizontal="center" vertical="center"/>
    </xf>
    <xf numFmtId="0" fontId="45" fillId="41" borderId="131" xfId="19" applyFont="1" applyFill="1" applyBorder="1" applyAlignment="1">
      <alignment horizontal="center" vertical="center"/>
    </xf>
    <xf numFmtId="0" fontId="70" fillId="73" borderId="1" xfId="19" applyFont="1" applyFill="1" applyBorder="1" applyAlignment="1">
      <alignment horizontal="left"/>
    </xf>
    <xf numFmtId="0" fontId="70" fillId="73" borderId="2" xfId="19" applyFont="1" applyFill="1" applyBorder="1" applyAlignment="1">
      <alignment horizontal="left"/>
    </xf>
    <xf numFmtId="0" fontId="0" fillId="74" borderId="16" xfId="0" applyFill="1" applyBorder="1" applyAlignment="1"/>
    <xf numFmtId="0" fontId="19" fillId="4" borderId="72" xfId="0" applyNumberFormat="1" applyFont="1" applyFill="1" applyBorder="1" applyAlignment="1">
      <alignment horizontal="left" vertical="center" wrapText="1"/>
    </xf>
    <xf numFmtId="0" fontId="19" fillId="0" borderId="66" xfId="0" applyFont="1" applyBorder="1" applyAlignment="1">
      <alignment horizontal="left" vertical="center" wrapText="1"/>
    </xf>
    <xf numFmtId="0" fontId="19" fillId="0" borderId="67" xfId="0" applyFont="1" applyBorder="1" applyAlignment="1">
      <alignment horizontal="left" vertical="center" wrapText="1"/>
    </xf>
    <xf numFmtId="0" fontId="70" fillId="61" borderId="21" xfId="0" applyFont="1" applyFill="1" applyBorder="1" applyAlignment="1">
      <alignment horizontal="left" vertical="center" wrapText="1"/>
    </xf>
    <xf numFmtId="0" fontId="71" fillId="61" borderId="5" xfId="0" applyFont="1" applyFill="1" applyBorder="1" applyAlignment="1">
      <alignment horizontal="left" vertical="center" wrapText="1"/>
    </xf>
    <xf numFmtId="0" fontId="71" fillId="61" borderId="2" xfId="0" applyFont="1" applyFill="1" applyBorder="1" applyAlignment="1">
      <alignment wrapText="1"/>
    </xf>
    <xf numFmtId="0" fontId="71" fillId="61" borderId="16" xfId="0" applyFont="1" applyFill="1" applyBorder="1" applyAlignment="1">
      <alignment wrapText="1"/>
    </xf>
    <xf numFmtId="0" fontId="45" fillId="0" borderId="73" xfId="0" applyFont="1" applyFill="1" applyBorder="1" applyAlignment="1">
      <alignment horizontal="right" vertical="center" wrapText="1"/>
    </xf>
    <xf numFmtId="0" fontId="13" fillId="0" borderId="144" xfId="0" applyFont="1" applyBorder="1" applyAlignment="1">
      <alignment horizontal="right" vertical="center" wrapText="1"/>
    </xf>
    <xf numFmtId="0" fontId="13" fillId="0" borderId="136" xfId="0" applyFont="1" applyBorder="1" applyAlignment="1">
      <alignment horizontal="right" vertical="center" wrapText="1"/>
    </xf>
    <xf numFmtId="0" fontId="45" fillId="0" borderId="89" xfId="0" applyFont="1" applyFill="1" applyBorder="1" applyAlignment="1">
      <alignment horizontal="right" vertical="center" wrapText="1"/>
    </xf>
    <xf numFmtId="0" fontId="13" fillId="0" borderId="74" xfId="0" applyFont="1" applyBorder="1" applyAlignment="1">
      <alignment horizontal="right" vertical="center" wrapText="1"/>
    </xf>
    <xf numFmtId="0" fontId="13" fillId="0" borderId="139" xfId="0" applyFont="1" applyBorder="1" applyAlignment="1">
      <alignment horizontal="right" vertical="center" wrapText="1"/>
    </xf>
    <xf numFmtId="0" fontId="19" fillId="4" borderId="22" xfId="0" applyNumberFormat="1" applyFont="1" applyFill="1" applyBorder="1" applyAlignment="1">
      <alignment horizontal="left" vertical="top" wrapText="1"/>
    </xf>
    <xf numFmtId="0" fontId="19" fillId="4" borderId="23" xfId="0" applyNumberFormat="1" applyFont="1" applyFill="1" applyBorder="1" applyAlignment="1">
      <alignment horizontal="left" vertical="top" wrapText="1"/>
    </xf>
    <xf numFmtId="0" fontId="19" fillId="4" borderId="101" xfId="0" applyNumberFormat="1" applyFont="1" applyFill="1" applyBorder="1" applyAlignment="1">
      <alignment horizontal="left" vertical="top" wrapText="1"/>
    </xf>
    <xf numFmtId="0" fontId="19" fillId="4" borderId="4" xfId="0" applyNumberFormat="1" applyFont="1" applyFill="1" applyBorder="1" applyAlignment="1">
      <alignment horizontal="left" vertical="top" wrapText="1"/>
    </xf>
    <xf numFmtId="0" fontId="19" fillId="0" borderId="21" xfId="0" applyFont="1" applyBorder="1" applyAlignment="1">
      <alignment horizontal="left" vertical="top" wrapText="1"/>
    </xf>
    <xf numFmtId="0" fontId="19" fillId="4" borderId="89" xfId="0" applyNumberFormat="1" applyFont="1" applyFill="1" applyBorder="1" applyAlignment="1">
      <alignment horizontal="left" vertical="top" wrapText="1"/>
    </xf>
    <xf numFmtId="0" fontId="19" fillId="0" borderId="74" xfId="0" applyFont="1" applyBorder="1" applyAlignment="1">
      <alignment horizontal="left" vertical="top" wrapText="1"/>
    </xf>
    <xf numFmtId="0" fontId="19" fillId="0" borderId="139" xfId="0" applyFont="1" applyBorder="1" applyAlignment="1">
      <alignment horizontal="left" vertical="top" wrapText="1"/>
    </xf>
    <xf numFmtId="0" fontId="19" fillId="4" borderId="10" xfId="0" applyFont="1" applyFill="1" applyBorder="1" applyAlignment="1">
      <alignment horizontal="left" vertical="top" wrapText="1"/>
    </xf>
    <xf numFmtId="0" fontId="19" fillId="0" borderId="18" xfId="0" applyFont="1" applyBorder="1" applyAlignment="1">
      <alignment horizontal="left" vertical="top" wrapText="1"/>
    </xf>
    <xf numFmtId="0" fontId="70" fillId="61" borderId="22" xfId="0" applyFont="1" applyFill="1" applyBorder="1" applyAlignment="1">
      <alignment wrapText="1"/>
    </xf>
    <xf numFmtId="0" fontId="0" fillId="0" borderId="86" xfId="0" applyBorder="1" applyAlignment="1">
      <alignment wrapText="1"/>
    </xf>
    <xf numFmtId="0" fontId="71" fillId="61" borderId="2" xfId="0" applyFont="1" applyFill="1" applyBorder="1" applyAlignment="1">
      <alignment horizontal="left" vertical="center" wrapText="1"/>
    </xf>
    <xf numFmtId="0" fontId="19" fillId="4" borderId="12" xfId="0" applyNumberFormat="1" applyFont="1" applyFill="1" applyBorder="1" applyAlignment="1">
      <alignment horizontal="left" vertical="top" wrapText="1"/>
    </xf>
    <xf numFmtId="0" fontId="0" fillId="0" borderId="58" xfId="0" applyBorder="1" applyAlignment="1">
      <alignment horizontal="left" vertical="top" wrapText="1"/>
    </xf>
    <xf numFmtId="0" fontId="0" fillId="0" borderId="21" xfId="0" applyBorder="1" applyAlignment="1">
      <alignment horizontal="left" vertical="top" wrapText="1"/>
    </xf>
    <xf numFmtId="0" fontId="18" fillId="4" borderId="0" xfId="2" applyFont="1" applyFill="1" applyBorder="1" applyAlignment="1" applyProtection="1">
      <alignment horizontal="left" vertical="center"/>
    </xf>
    <xf numFmtId="0" fontId="10" fillId="0" borderId="0" xfId="0" applyFont="1" applyBorder="1" applyAlignment="1">
      <alignment horizontal="left" vertical="center"/>
    </xf>
    <xf numFmtId="0" fontId="70" fillId="61" borderId="4" xfId="0" applyFont="1" applyFill="1" applyBorder="1" applyAlignment="1">
      <alignment wrapText="1"/>
    </xf>
    <xf numFmtId="0" fontId="74"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16" xfId="0" applyFont="1" applyFill="1" applyBorder="1" applyAlignment="1">
      <alignment horizontal="center" vertical="center" wrapText="1"/>
    </xf>
    <xf numFmtId="0" fontId="10" fillId="4" borderId="0" xfId="0" applyNumberFormat="1" applyFont="1" applyFill="1" applyBorder="1" applyAlignment="1">
      <alignment horizontal="left" vertical="top" wrapText="1"/>
    </xf>
    <xf numFmtId="0" fontId="51" fillId="61" borderId="2" xfId="0" applyFont="1" applyFill="1" applyBorder="1" applyAlignment="1">
      <alignment horizontal="left" vertical="top" wrapText="1"/>
    </xf>
    <xf numFmtId="0" fontId="51" fillId="61" borderId="16" xfId="0" applyFont="1" applyFill="1" applyBorder="1" applyAlignment="1">
      <alignment horizontal="left" vertical="top" wrapText="1"/>
    </xf>
    <xf numFmtId="0" fontId="70" fillId="61" borderId="2" xfId="0" applyFont="1" applyFill="1" applyBorder="1" applyAlignment="1">
      <alignment horizontal="left" vertical="center" wrapText="1"/>
    </xf>
    <xf numFmtId="0" fontId="70" fillId="61" borderId="16" xfId="0" applyFont="1" applyFill="1" applyBorder="1" applyAlignment="1">
      <alignment horizontal="left" vertical="center" wrapText="1"/>
    </xf>
    <xf numFmtId="0" fontId="71" fillId="61" borderId="16" xfId="0" applyFont="1" applyFill="1" applyBorder="1" applyAlignment="1">
      <alignment horizontal="left" vertical="center" wrapText="1"/>
    </xf>
    <xf numFmtId="0" fontId="19" fillId="4" borderId="3" xfId="0" applyNumberFormat="1" applyFont="1" applyFill="1" applyBorder="1" applyAlignment="1">
      <alignment horizontal="left" vertical="top" wrapText="1"/>
    </xf>
    <xf numFmtId="0" fontId="19" fillId="0" borderId="0" xfId="0" applyFont="1" applyBorder="1" applyAlignment="1">
      <alignment horizontal="left" vertical="top" wrapText="1"/>
    </xf>
    <xf numFmtId="0" fontId="69" fillId="61" borderId="22" xfId="110" applyFont="1" applyFill="1" applyBorder="1" applyAlignment="1">
      <alignment horizontal="center" vertical="center" wrapText="1"/>
    </xf>
    <xf numFmtId="0" fontId="69" fillId="61" borderId="86" xfId="110" applyFont="1" applyFill="1" applyBorder="1" applyAlignment="1">
      <alignment horizontal="center" vertical="center" wrapText="1"/>
    </xf>
    <xf numFmtId="0" fontId="28" fillId="0" borderId="73" xfId="110" applyFont="1" applyFill="1" applyBorder="1" applyAlignment="1">
      <alignment horizontal="center" vertical="center" wrapText="1"/>
    </xf>
    <xf numFmtId="0" fontId="28" fillId="0" borderId="136" xfId="110" applyFont="1" applyFill="1" applyBorder="1" applyAlignment="1">
      <alignment horizontal="center" vertical="center" wrapText="1"/>
    </xf>
    <xf numFmtId="0" fontId="70" fillId="61" borderId="1" xfId="0" applyFont="1" applyFill="1" applyBorder="1" applyAlignment="1">
      <alignment horizontal="left" wrapText="1"/>
    </xf>
    <xf numFmtId="0" fontId="70" fillId="61" borderId="2" xfId="0" applyFont="1" applyFill="1" applyBorder="1" applyAlignment="1">
      <alignment horizontal="left" wrapText="1"/>
    </xf>
    <xf numFmtId="0" fontId="28" fillId="0" borderId="73" xfId="0" applyFont="1" applyFill="1" applyBorder="1" applyAlignment="1">
      <alignment horizontal="center" vertical="center"/>
    </xf>
    <xf numFmtId="0" fontId="28" fillId="0" borderId="136" xfId="0" applyFont="1" applyFill="1" applyBorder="1" applyAlignment="1">
      <alignment horizontal="center" vertical="center"/>
    </xf>
    <xf numFmtId="0" fontId="45" fillId="0" borderId="89" xfId="0" applyFont="1" applyFill="1" applyBorder="1" applyAlignment="1">
      <alignment horizontal="center" vertical="center"/>
    </xf>
    <xf numFmtId="0" fontId="45" fillId="0" borderId="139" xfId="0" applyFont="1" applyFill="1" applyBorder="1" applyAlignment="1">
      <alignment horizontal="center" vertical="center"/>
    </xf>
    <xf numFmtId="0" fontId="70" fillId="61" borderId="16" xfId="0" applyFont="1" applyFill="1" applyBorder="1" applyAlignment="1">
      <alignment horizontal="left" wrapText="1"/>
    </xf>
    <xf numFmtId="0" fontId="19" fillId="0" borderId="23" xfId="0" applyFont="1" applyBorder="1" applyAlignment="1">
      <alignment horizontal="left" vertical="top" wrapText="1"/>
    </xf>
    <xf numFmtId="0" fontId="19" fillId="4" borderId="1" xfId="0" applyNumberFormat="1" applyFont="1" applyFill="1" applyBorder="1" applyAlignment="1">
      <alignment horizontal="left" vertical="top" wrapText="1"/>
    </xf>
    <xf numFmtId="0" fontId="19" fillId="4" borderId="2" xfId="0" applyNumberFormat="1" applyFont="1" applyFill="1" applyBorder="1" applyAlignment="1">
      <alignment horizontal="left" vertical="top" wrapText="1"/>
    </xf>
    <xf numFmtId="0" fontId="19" fillId="4" borderId="16" xfId="0" applyNumberFormat="1" applyFont="1" applyFill="1" applyBorder="1" applyAlignment="1">
      <alignment horizontal="left" vertical="top" wrapText="1"/>
    </xf>
    <xf numFmtId="0" fontId="69" fillId="61" borderId="7" xfId="0" applyFont="1" applyFill="1" applyBorder="1" applyAlignment="1">
      <alignment horizontal="center" vertical="center" wrapText="1"/>
    </xf>
    <xf numFmtId="0" fontId="0" fillId="0" borderId="8" xfId="0" applyBorder="1" applyAlignment="1">
      <alignment wrapText="1"/>
    </xf>
    <xf numFmtId="0" fontId="0" fillId="0" borderId="58" xfId="0" applyBorder="1" applyAlignment="1">
      <alignment wrapText="1"/>
    </xf>
    <xf numFmtId="0" fontId="69" fillId="61" borderId="4" xfId="0" applyFont="1" applyFill="1" applyBorder="1" applyAlignment="1">
      <alignment horizontal="left" vertical="center" wrapText="1"/>
    </xf>
    <xf numFmtId="0" fontId="0" fillId="0" borderId="21" xfId="0" applyBorder="1" applyAlignment="1">
      <alignment horizontal="left" vertical="center" wrapText="1"/>
    </xf>
    <xf numFmtId="0" fontId="19" fillId="4" borderId="1" xfId="0" applyFont="1" applyFill="1" applyBorder="1" applyAlignment="1">
      <alignment horizontal="left" vertical="top" wrapText="1"/>
    </xf>
    <xf numFmtId="0" fontId="0" fillId="0" borderId="2" xfId="0" applyBorder="1" applyAlignment="1">
      <alignment horizontal="left" vertical="top" wrapText="1"/>
    </xf>
    <xf numFmtId="0" fontId="13" fillId="4" borderId="72" xfId="0" applyFont="1" applyFill="1" applyBorder="1" applyAlignment="1">
      <alignment horizontal="center" vertical="center" wrapText="1"/>
    </xf>
    <xf numFmtId="0" fontId="13" fillId="0" borderId="66" xfId="0" applyFont="1" applyBorder="1" applyAlignment="1">
      <alignment horizontal="center" vertical="center" wrapText="1"/>
    </xf>
    <xf numFmtId="0" fontId="10" fillId="4" borderId="66" xfId="0" applyNumberFormat="1" applyFont="1" applyFill="1" applyBorder="1" applyAlignment="1">
      <alignment horizontal="left" vertical="top" wrapText="1"/>
    </xf>
    <xf numFmtId="0" fontId="10" fillId="4" borderId="67" xfId="0" applyNumberFormat="1" applyFont="1" applyFill="1" applyBorder="1" applyAlignment="1">
      <alignment horizontal="left" vertical="top" wrapText="1"/>
    </xf>
    <xf numFmtId="0" fontId="41" fillId="61" borderId="1" xfId="0" applyFont="1" applyFill="1" applyBorder="1" applyAlignment="1">
      <alignment horizontal="left" vertical="top" wrapText="1"/>
    </xf>
    <xf numFmtId="0" fontId="41" fillId="61" borderId="2" xfId="0" applyFont="1" applyFill="1" applyBorder="1" applyAlignment="1">
      <alignment horizontal="left" vertical="top" wrapText="1"/>
    </xf>
    <xf numFmtId="0" fontId="41" fillId="61" borderId="16" xfId="0" applyFont="1" applyFill="1" applyBorder="1" applyAlignment="1">
      <alignment horizontal="left" vertical="top" wrapText="1"/>
    </xf>
    <xf numFmtId="0" fontId="41" fillId="60" borderId="1" xfId="19" applyFont="1" applyFill="1" applyBorder="1" applyAlignment="1">
      <alignment horizontal="left" vertical="center" wrapText="1"/>
    </xf>
    <xf numFmtId="0" fontId="10" fillId="0" borderId="17" xfId="0" applyFont="1" applyBorder="1" applyAlignment="1">
      <alignment horizontal="center" vertical="center" wrapText="1"/>
    </xf>
    <xf numFmtId="0" fontId="0" fillId="0" borderId="69" xfId="0" applyBorder="1" applyAlignment="1">
      <alignment horizontal="center" vertical="center" wrapText="1"/>
    </xf>
    <xf numFmtId="0" fontId="74" fillId="0" borderId="2" xfId="0" applyFont="1" applyFill="1" applyBorder="1" applyAlignment="1">
      <alignment horizontal="center" vertical="center" wrapText="1"/>
    </xf>
    <xf numFmtId="0" fontId="74" fillId="0" borderId="16" xfId="0" applyFont="1" applyFill="1" applyBorder="1" applyAlignment="1">
      <alignment horizontal="center" vertical="center" wrapText="1"/>
    </xf>
    <xf numFmtId="0" fontId="10" fillId="4" borderId="40" xfId="0" applyNumberFormat="1" applyFont="1" applyFill="1" applyBorder="1" applyAlignment="1">
      <alignment horizontal="left" vertical="top" wrapText="1"/>
    </xf>
    <xf numFmtId="0" fontId="10" fillId="4" borderId="23" xfId="0" applyNumberFormat="1" applyFont="1" applyFill="1" applyBorder="1" applyAlignment="1">
      <alignment horizontal="left" vertical="top" wrapText="1"/>
    </xf>
    <xf numFmtId="0" fontId="10" fillId="4" borderId="101" xfId="0" applyNumberFormat="1" applyFont="1" applyFill="1" applyBorder="1" applyAlignment="1">
      <alignment horizontal="left" vertical="top" wrapText="1"/>
    </xf>
    <xf numFmtId="0" fontId="10" fillId="4" borderId="113" xfId="0" applyNumberFormat="1" applyFont="1" applyFill="1" applyBorder="1" applyAlignment="1">
      <alignment horizontal="left" vertical="top" wrapText="1"/>
    </xf>
    <xf numFmtId="0" fontId="10" fillId="0" borderId="17" xfId="0" applyFont="1" applyFill="1" applyBorder="1" applyAlignment="1">
      <alignment horizontal="center" vertical="center" wrapText="1"/>
    </xf>
    <xf numFmtId="0" fontId="0" fillId="0" borderId="17" xfId="0" applyBorder="1" applyAlignment="1">
      <alignment horizontal="center" vertical="center" wrapText="1"/>
    </xf>
    <xf numFmtId="0" fontId="10" fillId="0" borderId="70" xfId="0" applyFont="1" applyFill="1" applyBorder="1" applyAlignment="1">
      <alignment horizontal="center" vertical="center" wrapText="1"/>
    </xf>
    <xf numFmtId="0" fontId="10" fillId="4" borderId="2" xfId="0" applyFont="1" applyFill="1" applyBorder="1" applyAlignment="1">
      <alignment horizontal="left" vertical="top" wrapText="1"/>
    </xf>
    <xf numFmtId="0" fontId="70" fillId="61" borderId="2" xfId="0" applyFont="1" applyFill="1" applyBorder="1" applyAlignment="1">
      <alignment wrapText="1"/>
    </xf>
    <xf numFmtId="0" fontId="70" fillId="61" borderId="16" xfId="0" applyFont="1" applyFill="1" applyBorder="1" applyAlignment="1">
      <alignment wrapText="1"/>
    </xf>
    <xf numFmtId="0" fontId="10" fillId="0" borderId="12" xfId="0" applyFont="1" applyFill="1" applyBorder="1" applyAlignment="1">
      <alignment horizontal="left" vertical="top" wrapText="1"/>
    </xf>
    <xf numFmtId="0" fontId="0" fillId="0" borderId="58" xfId="0" applyFill="1" applyBorder="1" applyAlignment="1">
      <alignment horizontal="left" vertical="top" wrapText="1"/>
    </xf>
    <xf numFmtId="0" fontId="10" fillId="0" borderId="84" xfId="0" applyFont="1" applyFill="1" applyBorder="1" applyAlignment="1">
      <alignment horizontal="left" vertical="top" wrapText="1"/>
    </xf>
    <xf numFmtId="0" fontId="0" fillId="0" borderId="137" xfId="0" applyFill="1" applyBorder="1" applyAlignment="1">
      <alignment horizontal="left" vertical="top" wrapText="1"/>
    </xf>
    <xf numFmtId="0" fontId="17" fillId="0" borderId="2" xfId="0" applyFont="1" applyBorder="1" applyAlignment="1">
      <alignment horizontal="left" vertical="center" wrapText="1"/>
    </xf>
    <xf numFmtId="0" fontId="17" fillId="0" borderId="2" xfId="0" applyFont="1" applyBorder="1" applyAlignment="1">
      <alignment wrapText="1"/>
    </xf>
    <xf numFmtId="0" fontId="17" fillId="0" borderId="16" xfId="0" applyFont="1" applyBorder="1" applyAlignment="1">
      <alignment wrapText="1"/>
    </xf>
    <xf numFmtId="0" fontId="10" fillId="0" borderId="7" xfId="0" applyFont="1" applyFill="1" applyBorder="1" applyAlignment="1">
      <alignment horizontal="left" vertical="top" wrapText="1"/>
    </xf>
    <xf numFmtId="0" fontId="0" fillId="0" borderId="8" xfId="0" applyFill="1" applyBorder="1" applyAlignment="1">
      <alignment horizontal="left" vertical="top" wrapText="1"/>
    </xf>
    <xf numFmtId="0" fontId="10" fillId="0" borderId="132" xfId="0" applyFont="1" applyFill="1" applyBorder="1" applyAlignment="1">
      <alignment horizontal="left" vertical="top" wrapText="1"/>
    </xf>
    <xf numFmtId="0" fontId="0" fillId="0" borderId="131" xfId="0" applyFill="1" applyBorder="1" applyAlignment="1">
      <alignment horizontal="left" vertical="top" wrapText="1"/>
    </xf>
    <xf numFmtId="0" fontId="49" fillId="0" borderId="63" xfId="0" applyFont="1" applyFill="1" applyBorder="1" applyAlignment="1">
      <alignment horizontal="center" vertical="center" wrapText="1"/>
    </xf>
    <xf numFmtId="0" fontId="49" fillId="0" borderId="64" xfId="0" applyFont="1" applyFill="1" applyBorder="1" applyAlignment="1">
      <alignment horizontal="center" vertical="center" wrapText="1"/>
    </xf>
    <xf numFmtId="0" fontId="81" fillId="0" borderId="15" xfId="0" applyNumberFormat="1" applyFont="1" applyFill="1" applyBorder="1" applyAlignment="1">
      <alignment horizontal="left" vertical="top" wrapText="1"/>
    </xf>
    <xf numFmtId="0" fontId="28" fillId="0" borderId="82" xfId="0" applyFont="1" applyFill="1" applyBorder="1" applyAlignment="1">
      <alignment horizontal="left" vertical="top" wrapText="1"/>
    </xf>
    <xf numFmtId="0" fontId="28" fillId="0" borderId="83" xfId="0" applyFont="1" applyFill="1" applyBorder="1" applyAlignment="1">
      <alignment horizontal="left" vertical="top" wrapText="1"/>
    </xf>
    <xf numFmtId="0" fontId="19" fillId="0" borderId="89" xfId="0" applyNumberFormat="1" applyFont="1" applyFill="1" applyBorder="1" applyAlignment="1">
      <alignment horizontal="left" vertical="top" wrapText="1"/>
    </xf>
    <xf numFmtId="0" fontId="0" fillId="0" borderId="74" xfId="0" applyFill="1" applyBorder="1" applyAlignment="1">
      <alignment horizontal="left" vertical="top" wrapText="1"/>
    </xf>
    <xf numFmtId="0" fontId="0" fillId="0" borderId="138" xfId="0" applyFill="1" applyBorder="1" applyAlignment="1">
      <alignment horizontal="left" vertical="top" wrapText="1"/>
    </xf>
    <xf numFmtId="0" fontId="0" fillId="0" borderId="66" xfId="0" applyBorder="1" applyAlignment="1">
      <alignment horizontal="left" vertical="top" wrapText="1"/>
    </xf>
    <xf numFmtId="0" fontId="0" fillId="0" borderId="67" xfId="0" applyBorder="1" applyAlignment="1">
      <alignment horizontal="left" vertical="top" wrapText="1"/>
    </xf>
    <xf numFmtId="0" fontId="71" fillId="61" borderId="2" xfId="0" applyFont="1" applyFill="1" applyBorder="1" applyAlignment="1">
      <alignment horizontal="left" vertical="top" wrapText="1"/>
    </xf>
    <xf numFmtId="0" fontId="71" fillId="61" borderId="16" xfId="0" applyFont="1" applyFill="1" applyBorder="1" applyAlignment="1">
      <alignment horizontal="left" vertical="top" wrapText="1"/>
    </xf>
    <xf numFmtId="0" fontId="50" fillId="0" borderId="94" xfId="0" applyFont="1" applyFill="1" applyBorder="1" applyAlignment="1">
      <alignment horizontal="center" vertical="center" wrapText="1"/>
    </xf>
    <xf numFmtId="0" fontId="50" fillId="0" borderId="95" xfId="0" applyFont="1" applyFill="1" applyBorder="1" applyAlignment="1">
      <alignment horizontal="center" vertical="center" wrapText="1"/>
    </xf>
    <xf numFmtId="0" fontId="50" fillId="0" borderId="96" xfId="0" applyFont="1" applyFill="1" applyBorder="1" applyAlignment="1">
      <alignment horizontal="center" vertical="center" wrapText="1"/>
    </xf>
    <xf numFmtId="0" fontId="50" fillId="0" borderId="104" xfId="0" applyFont="1" applyFill="1" applyBorder="1" applyAlignment="1">
      <alignment horizontal="center" vertical="center" wrapText="1"/>
    </xf>
    <xf numFmtId="0" fontId="0" fillId="0" borderId="23" xfId="0" applyBorder="1" applyAlignment="1">
      <alignment horizontal="left" vertical="top" wrapText="1"/>
    </xf>
    <xf numFmtId="0" fontId="0" fillId="0" borderId="101" xfId="0" applyBorder="1" applyAlignment="1">
      <alignment horizontal="left" vertical="top" wrapText="1"/>
    </xf>
    <xf numFmtId="0" fontId="10" fillId="4" borderId="61" xfId="0" applyNumberFormat="1" applyFont="1" applyFill="1" applyBorder="1" applyAlignment="1">
      <alignment horizontal="left" vertical="top" wrapText="1"/>
    </xf>
    <xf numFmtId="0" fontId="0" fillId="0" borderId="75" xfId="0" applyBorder="1" applyAlignment="1">
      <alignment horizontal="left" vertical="top" wrapText="1"/>
    </xf>
    <xf numFmtId="0" fontId="19" fillId="4" borderId="72" xfId="0" applyFont="1" applyFill="1" applyBorder="1" applyAlignment="1">
      <alignment horizontal="left" vertical="center" wrapText="1"/>
    </xf>
    <xf numFmtId="0" fontId="19" fillId="4" borderId="66" xfId="0" applyFont="1" applyFill="1" applyBorder="1" applyAlignment="1">
      <alignment horizontal="left" vertical="center" wrapText="1"/>
    </xf>
    <xf numFmtId="0" fontId="19" fillId="4" borderId="67" xfId="0" applyFont="1" applyFill="1" applyBorder="1" applyAlignment="1">
      <alignment horizontal="left" vertical="center" wrapText="1"/>
    </xf>
    <xf numFmtId="0" fontId="70" fillId="74" borderId="1" xfId="0" applyFont="1" applyFill="1" applyBorder="1" applyAlignment="1">
      <alignment horizontal="left" wrapText="1"/>
    </xf>
    <xf numFmtId="0" fontId="70" fillId="74" borderId="2" xfId="0" applyFont="1" applyFill="1" applyBorder="1" applyAlignment="1">
      <alignment horizontal="left" wrapText="1"/>
    </xf>
    <xf numFmtId="0" fontId="70" fillId="74" borderId="16" xfId="0" applyFont="1" applyFill="1" applyBorder="1" applyAlignment="1">
      <alignment horizontal="left" wrapText="1"/>
    </xf>
    <xf numFmtId="0" fontId="0" fillId="0" borderId="18" xfId="0" applyFill="1" applyBorder="1" applyAlignment="1">
      <alignment horizontal="left" vertical="top" wrapText="1"/>
    </xf>
    <xf numFmtId="0" fontId="0" fillId="0" borderId="21" xfId="0" applyFill="1" applyBorder="1" applyAlignment="1">
      <alignment horizontal="left" vertical="top" wrapText="1"/>
    </xf>
    <xf numFmtId="0" fontId="13" fillId="0" borderId="22" xfId="0" applyFont="1" applyFill="1" applyBorder="1" applyAlignment="1">
      <alignment horizontal="right" vertical="center" wrapText="1"/>
    </xf>
    <xf numFmtId="0" fontId="13" fillId="0" borderId="23" xfId="0" applyFont="1" applyFill="1" applyBorder="1" applyAlignment="1">
      <alignment horizontal="right" vertical="center" wrapText="1"/>
    </xf>
    <xf numFmtId="0" fontId="13" fillId="0" borderId="101" xfId="0" applyFont="1" applyFill="1" applyBorder="1" applyAlignment="1">
      <alignment horizontal="right" vertical="center" wrapText="1"/>
    </xf>
    <xf numFmtId="0" fontId="19" fillId="4" borderId="4" xfId="0" applyFont="1" applyFill="1" applyBorder="1" applyAlignment="1">
      <alignment horizontal="left" vertical="top" wrapText="1"/>
    </xf>
    <xf numFmtId="0" fontId="10" fillId="4" borderId="0" xfId="0" applyFont="1" applyFill="1" applyAlignment="1">
      <alignment horizontal="left" vertical="top" wrapText="1"/>
    </xf>
    <xf numFmtId="0" fontId="14" fillId="4" borderId="1"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16" xfId="0" applyFont="1" applyFill="1" applyBorder="1" applyAlignment="1">
      <alignment horizontal="center" vertical="center" wrapText="1"/>
    </xf>
    <xf numFmtId="0" fontId="10" fillId="4" borderId="113" xfId="0" applyNumberFormat="1" applyFont="1" applyFill="1" applyBorder="1" applyAlignment="1">
      <alignment horizontal="center" vertical="top" wrapText="1"/>
    </xf>
    <xf numFmtId="0" fontId="10" fillId="4" borderId="66" xfId="0" applyNumberFormat="1" applyFont="1" applyFill="1" applyBorder="1" applyAlignment="1">
      <alignment horizontal="center" vertical="top" wrapText="1"/>
    </xf>
    <xf numFmtId="0" fontId="10" fillId="4" borderId="67" xfId="0" applyNumberFormat="1" applyFont="1" applyFill="1" applyBorder="1" applyAlignment="1">
      <alignment horizontal="center" vertical="top" wrapText="1"/>
    </xf>
    <xf numFmtId="0" fontId="10" fillId="0" borderId="72" xfId="0" applyNumberFormat="1" applyFont="1" applyFill="1" applyBorder="1" applyAlignment="1">
      <alignment horizontal="left" vertical="top" wrapText="1"/>
    </xf>
    <xf numFmtId="0" fontId="10" fillId="0" borderId="66" xfId="0" applyNumberFormat="1" applyFont="1" applyFill="1" applyBorder="1" applyAlignment="1">
      <alignment horizontal="left" vertical="top" wrapText="1"/>
    </xf>
    <xf numFmtId="0" fontId="10" fillId="0" borderId="67" xfId="0" applyNumberFormat="1" applyFont="1" applyFill="1" applyBorder="1" applyAlignment="1">
      <alignment horizontal="left" vertical="top" wrapText="1"/>
    </xf>
    <xf numFmtId="0" fontId="70" fillId="61" borderId="1" xfId="0" applyFont="1" applyFill="1" applyBorder="1" applyAlignment="1">
      <alignment horizontal="center" vertical="center" wrapText="1"/>
    </xf>
    <xf numFmtId="0" fontId="70" fillId="61" borderId="2" xfId="0" applyFont="1" applyFill="1" applyBorder="1" applyAlignment="1">
      <alignment horizontal="center" vertical="center" wrapText="1"/>
    </xf>
    <xf numFmtId="0" fontId="70" fillId="61" borderId="16" xfId="0" applyFont="1" applyFill="1" applyBorder="1" applyAlignment="1">
      <alignment horizontal="center" vertical="center" wrapText="1"/>
    </xf>
    <xf numFmtId="0" fontId="13" fillId="0" borderId="73" xfId="0" applyFont="1" applyFill="1" applyBorder="1" applyAlignment="1">
      <alignment horizontal="right" vertical="center" wrapText="1"/>
    </xf>
    <xf numFmtId="0" fontId="13" fillId="0" borderId="144" xfId="0" applyFont="1" applyFill="1" applyBorder="1" applyAlignment="1">
      <alignment horizontal="right" vertical="center" wrapText="1"/>
    </xf>
    <xf numFmtId="0" fontId="13" fillId="0" borderId="150" xfId="0" applyFont="1" applyFill="1" applyBorder="1" applyAlignment="1">
      <alignment horizontal="right" vertical="center" wrapText="1"/>
    </xf>
    <xf numFmtId="0" fontId="13" fillId="0" borderId="89" xfId="0" applyFont="1" applyFill="1" applyBorder="1" applyAlignment="1">
      <alignment horizontal="right" vertical="center" wrapText="1"/>
    </xf>
    <xf numFmtId="0" fontId="13" fillId="0" borderId="74" xfId="0" applyFont="1" applyFill="1" applyBorder="1" applyAlignment="1">
      <alignment horizontal="right" vertical="center" wrapText="1"/>
    </xf>
    <xf numFmtId="0" fontId="13" fillId="0" borderId="138" xfId="0" applyFont="1" applyFill="1" applyBorder="1" applyAlignment="1">
      <alignment horizontal="right" vertical="center" wrapText="1"/>
    </xf>
    <xf numFmtId="0" fontId="13" fillId="0" borderId="1" xfId="0" applyFont="1" applyFill="1" applyBorder="1" applyAlignment="1">
      <alignment horizontal="right" vertical="center" wrapText="1"/>
    </xf>
    <xf numFmtId="0" fontId="13" fillId="0" borderId="2" xfId="0" applyFont="1" applyFill="1" applyBorder="1" applyAlignment="1">
      <alignment horizontal="right" vertical="center" wrapText="1"/>
    </xf>
    <xf numFmtId="0" fontId="13" fillId="0" borderId="16" xfId="0" applyFont="1" applyFill="1" applyBorder="1" applyAlignment="1">
      <alignment horizontal="right" vertical="center" wrapText="1"/>
    </xf>
    <xf numFmtId="0" fontId="69" fillId="61" borderId="88" xfId="0" applyFont="1" applyFill="1" applyBorder="1" applyAlignment="1">
      <alignment horizontal="center" vertical="center" wrapText="1"/>
    </xf>
    <xf numFmtId="0" fontId="69" fillId="61" borderId="175" xfId="0" applyFont="1" applyFill="1" applyBorder="1" applyAlignment="1">
      <alignment horizontal="center" vertical="center" wrapText="1"/>
    </xf>
    <xf numFmtId="0" fontId="69" fillId="61" borderId="157" xfId="0" applyFont="1" applyFill="1" applyBorder="1" applyAlignment="1">
      <alignment horizontal="center" vertical="center" wrapText="1"/>
    </xf>
    <xf numFmtId="0" fontId="10" fillId="0" borderId="4" xfId="19" applyFont="1" applyFill="1" applyBorder="1" applyAlignment="1">
      <alignment horizontal="left" vertical="top" wrapText="1"/>
    </xf>
    <xf numFmtId="0" fontId="10" fillId="0" borderId="21" xfId="19" applyFill="1" applyBorder="1" applyAlignment="1">
      <alignment horizontal="left" vertical="top" wrapText="1"/>
    </xf>
    <xf numFmtId="0" fontId="14" fillId="4" borderId="1" xfId="19" applyFont="1" applyFill="1" applyBorder="1" applyAlignment="1">
      <alignment horizontal="center" vertical="center" wrapText="1"/>
    </xf>
    <xf numFmtId="0" fontId="10" fillId="0" borderId="2" xfId="19" applyBorder="1" applyAlignment="1">
      <alignment horizontal="center" vertical="center" wrapText="1"/>
    </xf>
    <xf numFmtId="0" fontId="10" fillId="0" borderId="16" xfId="19" applyBorder="1" applyAlignment="1">
      <alignment horizontal="center" vertical="center" wrapText="1"/>
    </xf>
    <xf numFmtId="0" fontId="10" fillId="0" borderId="2" xfId="19" applyBorder="1" applyAlignment="1">
      <alignment wrapText="1"/>
    </xf>
    <xf numFmtId="0" fontId="10" fillId="0" borderId="16" xfId="19" applyBorder="1" applyAlignment="1">
      <alignment wrapText="1"/>
    </xf>
    <xf numFmtId="0" fontId="10" fillId="4" borderId="40" xfId="19" applyNumberFormat="1" applyFont="1" applyFill="1" applyBorder="1" applyAlignment="1">
      <alignment horizontal="left" vertical="top" wrapText="1"/>
    </xf>
    <xf numFmtId="0" fontId="10" fillId="0" borderId="23" xfId="19" applyBorder="1" applyAlignment="1">
      <alignment horizontal="left" vertical="top" wrapText="1"/>
    </xf>
    <xf numFmtId="0" fontId="10" fillId="0" borderId="101" xfId="19" applyBorder="1" applyAlignment="1">
      <alignment horizontal="left" vertical="top" wrapText="1"/>
    </xf>
    <xf numFmtId="0" fontId="10" fillId="4" borderId="135" xfId="19" applyNumberFormat="1" applyFont="1" applyFill="1" applyBorder="1" applyAlignment="1">
      <alignment horizontal="left" vertical="top" wrapText="1"/>
    </xf>
    <xf numFmtId="0" fontId="10" fillId="0" borderId="74" xfId="19" applyBorder="1" applyAlignment="1">
      <alignment horizontal="left" vertical="top" wrapText="1"/>
    </xf>
    <xf numFmtId="0" fontId="10" fillId="0" borderId="138" xfId="19" applyBorder="1" applyAlignment="1">
      <alignment horizontal="left" vertical="top" wrapText="1"/>
    </xf>
    <xf numFmtId="0" fontId="10" fillId="4" borderId="89" xfId="19" applyNumberFormat="1" applyFont="1" applyFill="1" applyBorder="1" applyAlignment="1">
      <alignment horizontal="left" vertical="top" wrapText="1"/>
    </xf>
    <xf numFmtId="0" fontId="70" fillId="61" borderId="22" xfId="19" applyFont="1" applyFill="1" applyBorder="1" applyAlignment="1">
      <alignment horizontal="left" vertical="top" wrapText="1"/>
    </xf>
    <xf numFmtId="0" fontId="13" fillId="4" borderId="4" xfId="0" applyFont="1" applyFill="1" applyBorder="1" applyAlignment="1">
      <alignment horizontal="right" vertical="center" wrapText="1"/>
    </xf>
    <xf numFmtId="0" fontId="0" fillId="0" borderId="21" xfId="0" applyBorder="1" applyAlignment="1">
      <alignment horizontal="right" vertical="center" wrapText="1"/>
    </xf>
    <xf numFmtId="0" fontId="0" fillId="0" borderId="43" xfId="0" applyBorder="1" applyAlignment="1">
      <alignment horizontal="right" vertical="center" wrapText="1"/>
    </xf>
    <xf numFmtId="3" fontId="13" fillId="4" borderId="58" xfId="0" applyNumberFormat="1" applyFont="1" applyFill="1" applyBorder="1" applyAlignment="1">
      <alignment horizontal="right" vertical="center" wrapText="1"/>
    </xf>
    <xf numFmtId="0" fontId="0" fillId="0" borderId="58" xfId="0" applyBorder="1" applyAlignment="1">
      <alignment horizontal="right" vertical="center" wrapText="1"/>
    </xf>
    <xf numFmtId="0" fontId="0" fillId="0" borderId="135" xfId="0" applyBorder="1" applyAlignment="1">
      <alignment horizontal="right" vertical="center" wrapText="1"/>
    </xf>
    <xf numFmtId="0" fontId="10" fillId="4" borderId="25" xfId="0" applyFont="1" applyFill="1" applyBorder="1" applyAlignment="1">
      <alignment horizontal="center" vertical="center" wrapText="1"/>
    </xf>
    <xf numFmtId="3" fontId="13" fillId="4" borderId="72" xfId="0" applyNumberFormat="1" applyFont="1" applyFill="1" applyBorder="1" applyAlignment="1">
      <alignment horizontal="left" vertical="top" wrapText="1"/>
    </xf>
    <xf numFmtId="0" fontId="0" fillId="0" borderId="130" xfId="0" applyBorder="1" applyAlignment="1">
      <alignment horizontal="left" vertical="top" wrapText="1"/>
    </xf>
    <xf numFmtId="0" fontId="51" fillId="61" borderId="2" xfId="0" applyFont="1" applyFill="1" applyBorder="1" applyAlignment="1">
      <alignment horizontal="center" vertical="center" wrapText="1"/>
    </xf>
    <xf numFmtId="0" fontId="51" fillId="61" borderId="16" xfId="0" applyFont="1" applyFill="1" applyBorder="1" applyAlignment="1">
      <alignment horizontal="center" vertical="center" wrapText="1"/>
    </xf>
    <xf numFmtId="0" fontId="19" fillId="4" borderId="72" xfId="0" applyFont="1" applyFill="1" applyBorder="1" applyAlignment="1">
      <alignment horizontal="left" vertical="top" wrapText="1"/>
    </xf>
    <xf numFmtId="0" fontId="13" fillId="4" borderId="1" xfId="0" applyFont="1" applyFill="1" applyBorder="1" applyAlignment="1">
      <alignment horizontal="right" wrapText="1"/>
    </xf>
    <xf numFmtId="0" fontId="13" fillId="0" borderId="42" xfId="0" applyFont="1" applyBorder="1" applyAlignment="1">
      <alignment horizontal="right" wrapText="1"/>
    </xf>
    <xf numFmtId="0" fontId="90" fillId="61" borderId="1" xfId="0" applyFont="1" applyFill="1" applyBorder="1" applyAlignment="1">
      <alignment horizontal="left" vertical="center" wrapText="1"/>
    </xf>
    <xf numFmtId="0" fontId="90" fillId="61" borderId="2" xfId="0" applyFont="1" applyFill="1" applyBorder="1" applyAlignment="1">
      <alignment horizontal="left" vertical="center" wrapText="1"/>
    </xf>
    <xf numFmtId="0" fontId="90" fillId="61" borderId="16" xfId="0" applyFont="1" applyFill="1" applyBorder="1" applyAlignment="1">
      <alignment horizontal="left" vertical="center" wrapText="1"/>
    </xf>
    <xf numFmtId="0" fontId="90" fillId="61" borderId="22" xfId="0" applyFont="1" applyFill="1" applyBorder="1" applyAlignment="1">
      <alignment horizontal="center" vertical="center" wrapText="1"/>
    </xf>
    <xf numFmtId="0" fontId="90" fillId="61" borderId="23" xfId="0" applyFont="1" applyFill="1" applyBorder="1" applyAlignment="1">
      <alignment horizontal="center" vertical="center" wrapText="1"/>
    </xf>
    <xf numFmtId="0" fontId="90" fillId="61" borderId="101" xfId="0" applyFont="1" applyFill="1" applyBorder="1" applyAlignment="1">
      <alignment horizontal="center" vertical="center" wrapText="1"/>
    </xf>
    <xf numFmtId="0" fontId="90" fillId="61" borderId="10" xfId="0" applyFont="1" applyFill="1" applyBorder="1" applyAlignment="1">
      <alignment horizontal="center" vertical="center" wrapText="1"/>
    </xf>
    <xf numFmtId="0" fontId="0" fillId="0" borderId="18" xfId="0" applyBorder="1" applyAlignment="1">
      <alignment horizontal="center" vertical="center" wrapText="1"/>
    </xf>
    <xf numFmtId="0" fontId="0" fillId="0" borderId="11" xfId="0" applyBorder="1" applyAlignment="1">
      <alignment horizontal="center" vertical="center" wrapText="1"/>
    </xf>
    <xf numFmtId="0" fontId="10" fillId="4" borderId="15" xfId="0" applyFont="1" applyFill="1" applyBorder="1" applyAlignment="1">
      <alignment horizontal="left" vertical="top" wrapText="1"/>
    </xf>
    <xf numFmtId="0" fontId="0" fillId="0" borderId="82" xfId="0" applyBorder="1" applyAlignment="1">
      <alignment horizontal="left" vertical="top" wrapText="1"/>
    </xf>
    <xf numFmtId="0" fontId="0" fillId="0" borderId="110" xfId="0" applyBorder="1" applyAlignment="1">
      <alignment horizontal="left" vertical="top" wrapText="1"/>
    </xf>
    <xf numFmtId="0" fontId="0" fillId="0" borderId="18" xfId="0" applyBorder="1" applyAlignment="1">
      <alignment wrapText="1"/>
    </xf>
    <xf numFmtId="0" fontId="90" fillId="61" borderId="86" xfId="0" applyFont="1" applyFill="1" applyBorder="1" applyAlignment="1">
      <alignment horizontal="center" vertical="center" wrapText="1"/>
    </xf>
    <xf numFmtId="0" fontId="0" fillId="0" borderId="40" xfId="0" applyBorder="1" applyAlignment="1">
      <alignment horizontal="center" vertical="center" wrapText="1"/>
    </xf>
    <xf numFmtId="0" fontId="14" fillId="4" borderId="1" xfId="0" applyFont="1" applyFill="1" applyBorder="1" applyAlignment="1">
      <alignment vertical="top" wrapText="1"/>
    </xf>
    <xf numFmtId="0" fontId="0" fillId="0" borderId="2" xfId="0" applyBorder="1" applyAlignment="1">
      <alignment vertical="top" wrapText="1"/>
    </xf>
    <xf numFmtId="0" fontId="0" fillId="0" borderId="16" xfId="0" applyBorder="1" applyAlignment="1">
      <alignment vertical="top" wrapText="1"/>
    </xf>
    <xf numFmtId="0" fontId="16" fillId="4" borderId="0" xfId="0" applyFont="1" applyFill="1" applyAlignment="1">
      <alignment horizontal="left" wrapText="1"/>
    </xf>
    <xf numFmtId="0" fontId="19" fillId="0" borderId="72" xfId="0" applyFont="1" applyFill="1" applyBorder="1" applyAlignment="1">
      <alignment horizontal="left" vertical="top" wrapText="1"/>
    </xf>
    <xf numFmtId="0" fontId="0" fillId="0" borderId="66" xfId="0" applyFill="1" applyBorder="1" applyAlignment="1">
      <alignment horizontal="left" vertical="top" wrapText="1"/>
    </xf>
    <xf numFmtId="0" fontId="0" fillId="0" borderId="67" xfId="0" applyFill="1" applyBorder="1" applyAlignment="1">
      <alignment horizontal="left" vertical="top" wrapText="1"/>
    </xf>
    <xf numFmtId="0" fontId="19" fillId="0" borderId="1" xfId="0" applyFont="1" applyFill="1" applyBorder="1" applyAlignment="1">
      <alignment horizontal="left" vertical="top" wrapText="1"/>
    </xf>
    <xf numFmtId="0" fontId="0" fillId="0" borderId="2" xfId="0" applyFill="1" applyBorder="1" applyAlignment="1">
      <alignment horizontal="left" vertical="top" wrapText="1"/>
    </xf>
    <xf numFmtId="0" fontId="0" fillId="0" borderId="16" xfId="0" applyFill="1" applyBorder="1" applyAlignment="1">
      <alignment horizontal="left" vertical="top" wrapText="1"/>
    </xf>
    <xf numFmtId="0" fontId="70" fillId="61" borderId="4" xfId="0" applyFont="1" applyFill="1" applyBorder="1" applyAlignment="1">
      <alignment horizontal="left" vertical="top" wrapText="1"/>
    </xf>
    <xf numFmtId="0" fontId="19" fillId="4" borderId="1" xfId="0" applyFont="1" applyFill="1" applyBorder="1" applyAlignment="1">
      <alignment wrapText="1"/>
    </xf>
    <xf numFmtId="0" fontId="0" fillId="0" borderId="2" xfId="0" applyBorder="1" applyAlignment="1">
      <alignment horizontal="center" vertical="center" wrapText="1"/>
    </xf>
    <xf numFmtId="0" fontId="10" fillId="4" borderId="89" xfId="0" applyFont="1" applyFill="1" applyBorder="1" applyAlignment="1">
      <alignment horizontal="left" vertical="top" wrapText="1"/>
    </xf>
    <xf numFmtId="0" fontId="10" fillId="0" borderId="74" xfId="0" applyFont="1" applyBorder="1" applyAlignment="1">
      <alignment horizontal="left" vertical="top" wrapText="1"/>
    </xf>
    <xf numFmtId="0" fontId="10" fillId="0" borderId="75" xfId="0" applyFont="1" applyBorder="1" applyAlignment="1">
      <alignment horizontal="left" vertical="top" wrapText="1"/>
    </xf>
    <xf numFmtId="0" fontId="0" fillId="0" borderId="16" xfId="0" applyBorder="1" applyAlignment="1">
      <alignment horizontal="center" vertical="center" wrapText="1"/>
    </xf>
    <xf numFmtId="0" fontId="13" fillId="4" borderId="1" xfId="0" applyFont="1" applyFill="1" applyBorder="1" applyAlignment="1">
      <alignment horizontal="right" vertical="top" wrapText="1"/>
    </xf>
    <xf numFmtId="0" fontId="0" fillId="0" borderId="2" xfId="0" applyBorder="1" applyAlignment="1">
      <alignment horizontal="right" vertical="top" wrapText="1"/>
    </xf>
    <xf numFmtId="0" fontId="0" fillId="0" borderId="42" xfId="0" applyBorder="1" applyAlignment="1">
      <alignment horizontal="right" vertical="top" wrapText="1"/>
    </xf>
    <xf numFmtId="0" fontId="45" fillId="0" borderId="1" xfId="0" applyFont="1" applyBorder="1" applyAlignment="1">
      <alignment horizontal="right" vertical="center" wrapText="1"/>
    </xf>
    <xf numFmtId="0" fontId="0" fillId="0" borderId="2" xfId="0" applyBorder="1" applyAlignment="1">
      <alignment horizontal="right" vertical="center" wrapText="1"/>
    </xf>
    <xf numFmtId="0" fontId="0" fillId="0" borderId="16" xfId="0" applyBorder="1" applyAlignment="1">
      <alignment horizontal="right" vertical="center" wrapText="1"/>
    </xf>
    <xf numFmtId="0" fontId="13" fillId="4" borderId="89" xfId="0" applyFont="1" applyFill="1" applyBorder="1" applyAlignment="1">
      <alignment horizontal="right" vertical="center" wrapText="1"/>
    </xf>
    <xf numFmtId="0" fontId="0" fillId="0" borderId="74" xfId="0" applyBorder="1" applyAlignment="1">
      <alignment horizontal="right" vertical="center" wrapText="1"/>
    </xf>
    <xf numFmtId="0" fontId="0" fillId="0" borderId="139" xfId="0" applyBorder="1" applyAlignment="1">
      <alignment horizontal="right" vertical="center" wrapText="1"/>
    </xf>
    <xf numFmtId="3" fontId="10" fillId="4" borderId="4" xfId="0" applyNumberFormat="1" applyFont="1" applyFill="1" applyBorder="1" applyAlignment="1">
      <alignment horizontal="left" vertical="top" wrapText="1"/>
    </xf>
    <xf numFmtId="0" fontId="70" fillId="61" borderId="4" xfId="0" applyFont="1" applyFill="1" applyBorder="1" applyAlignment="1" applyProtection="1">
      <alignment horizontal="left" vertical="center" wrapText="1"/>
    </xf>
    <xf numFmtId="0" fontId="0" fillId="0" borderId="5" xfId="0" applyBorder="1" applyAlignment="1">
      <alignment horizontal="left" vertical="center" wrapText="1"/>
    </xf>
    <xf numFmtId="0" fontId="70" fillId="61" borderId="1" xfId="0" applyFont="1" applyFill="1" applyBorder="1" applyAlignment="1" applyProtection="1">
      <alignment horizontal="left" vertical="center" wrapText="1"/>
    </xf>
    <xf numFmtId="0" fontId="0" fillId="61" borderId="2" xfId="0"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16" xfId="0" applyFont="1" applyFill="1" applyBorder="1" applyAlignment="1">
      <alignment horizontal="left" vertical="center" wrapText="1"/>
    </xf>
    <xf numFmtId="49" fontId="19" fillId="4" borderId="1" xfId="0" applyNumberFormat="1" applyFont="1" applyFill="1" applyBorder="1" applyAlignment="1">
      <alignment horizontal="left" vertical="top" wrapText="1"/>
    </xf>
    <xf numFmtId="0" fontId="70" fillId="61" borderId="2" xfId="0" applyFont="1" applyFill="1" applyBorder="1" applyAlignment="1" applyProtection="1">
      <alignment horizontal="left" vertical="center" wrapText="1"/>
    </xf>
    <xf numFmtId="0" fontId="70" fillId="61" borderId="16" xfId="0" applyFont="1" applyFill="1" applyBorder="1" applyAlignment="1" applyProtection="1">
      <alignment horizontal="left" vertical="center" wrapText="1"/>
    </xf>
    <xf numFmtId="0" fontId="10" fillId="0" borderId="21" xfId="0" applyFont="1" applyBorder="1" applyAlignment="1">
      <alignment horizontal="left" vertical="top" wrapText="1"/>
    </xf>
    <xf numFmtId="0" fontId="70" fillId="61" borderId="1" xfId="0" applyFont="1" applyFill="1" applyBorder="1" applyAlignment="1" applyProtection="1">
      <alignment horizontal="left" wrapText="1"/>
    </xf>
    <xf numFmtId="0" fontId="10" fillId="0" borderId="10"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69" fillId="61" borderId="1" xfId="0" applyFont="1" applyFill="1" applyBorder="1" applyAlignment="1">
      <alignment horizontal="right" vertical="center" wrapText="1"/>
    </xf>
    <xf numFmtId="3" fontId="10" fillId="4" borderId="72" xfId="0" applyNumberFormat="1" applyFont="1" applyFill="1" applyBorder="1" applyAlignment="1">
      <alignment horizontal="left" vertical="top" wrapText="1"/>
    </xf>
    <xf numFmtId="0" fontId="0" fillId="0" borderId="66" xfId="0" applyBorder="1" applyAlignment="1">
      <alignment wrapText="1"/>
    </xf>
    <xf numFmtId="0" fontId="0" fillId="0" borderId="130" xfId="0" applyBorder="1" applyAlignment="1">
      <alignment wrapText="1"/>
    </xf>
    <xf numFmtId="0" fontId="69" fillId="61" borderId="56" xfId="0" applyFont="1" applyFill="1" applyBorder="1" applyAlignment="1">
      <alignment horizontal="center" vertical="center" wrapText="1"/>
    </xf>
    <xf numFmtId="0" fontId="0" fillId="0" borderId="56" xfId="0" applyBorder="1" applyAlignment="1">
      <alignment wrapText="1"/>
    </xf>
    <xf numFmtId="0" fontId="0" fillId="0" borderId="12" xfId="0" applyBorder="1" applyAlignment="1">
      <alignment wrapText="1"/>
    </xf>
    <xf numFmtId="0" fontId="69" fillId="61" borderId="11" xfId="0" applyFont="1" applyFill="1" applyBorder="1" applyAlignment="1">
      <alignment horizontal="center" vertical="center" wrapText="1"/>
    </xf>
    <xf numFmtId="0" fontId="69" fillId="61" borderId="57" xfId="0" applyFont="1" applyFill="1" applyBorder="1" applyAlignment="1">
      <alignment horizontal="center" vertical="center" wrapText="1"/>
    </xf>
    <xf numFmtId="0" fontId="19" fillId="0" borderId="2" xfId="0" applyFont="1" applyBorder="1" applyAlignment="1">
      <alignment horizontal="left" vertical="top" wrapText="1"/>
    </xf>
    <xf numFmtId="0" fontId="19" fillId="0" borderId="42" xfId="0" applyFont="1" applyBorder="1" applyAlignment="1">
      <alignment horizontal="left" vertical="top" wrapText="1"/>
    </xf>
    <xf numFmtId="0" fontId="69" fillId="61" borderId="87" xfId="0" applyFont="1" applyFill="1" applyBorder="1" applyAlignment="1">
      <alignment horizontal="center" vertical="center" wrapText="1"/>
    </xf>
    <xf numFmtId="0" fontId="0" fillId="0" borderId="3" xfId="0" applyBorder="1" applyAlignment="1">
      <alignment wrapText="1"/>
    </xf>
    <xf numFmtId="0" fontId="19" fillId="4" borderId="22" xfId="0" applyFont="1" applyFill="1" applyBorder="1" applyAlignment="1">
      <alignment horizontal="left" vertical="top" wrapText="1"/>
    </xf>
    <xf numFmtId="0" fontId="19" fillId="0" borderId="86" xfId="0" applyFont="1" applyBorder="1" applyAlignment="1">
      <alignment horizontal="left" vertical="top" wrapText="1"/>
    </xf>
    <xf numFmtId="0" fontId="19" fillId="4" borderId="24" xfId="0" applyFont="1" applyFill="1" applyBorder="1" applyAlignment="1">
      <alignment horizontal="left" vertical="top" wrapText="1"/>
    </xf>
    <xf numFmtId="0" fontId="19" fillId="0" borderId="85" xfId="0" applyFont="1" applyBorder="1" applyAlignment="1">
      <alignment horizontal="left" vertical="top" wrapText="1"/>
    </xf>
    <xf numFmtId="0" fontId="69" fillId="61" borderId="84" xfId="0" applyFont="1" applyFill="1" applyBorder="1" applyAlignment="1">
      <alignment horizontal="center" vertical="center" wrapText="1"/>
    </xf>
    <xf numFmtId="0" fontId="0" fillId="0" borderId="28" xfId="0" applyBorder="1" applyAlignment="1">
      <alignment wrapText="1"/>
    </xf>
    <xf numFmtId="0" fontId="0" fillId="0" borderId="63" xfId="0" applyBorder="1" applyAlignment="1">
      <alignment wrapText="1"/>
    </xf>
    <xf numFmtId="0" fontId="69" fillId="61" borderId="9" xfId="0" applyFont="1" applyFill="1" applyBorder="1" applyAlignment="1">
      <alignment horizontal="center" vertical="center" wrapText="1"/>
    </xf>
    <xf numFmtId="0" fontId="13" fillId="4" borderId="55" xfId="0" applyFont="1" applyFill="1" applyBorder="1" applyAlignment="1">
      <alignment horizontal="right" vertical="center" wrapText="1"/>
    </xf>
    <xf numFmtId="0" fontId="13" fillId="0" borderId="55" xfId="0" applyFont="1" applyBorder="1" applyAlignment="1">
      <alignment horizontal="right" wrapText="1"/>
    </xf>
    <xf numFmtId="0" fontId="13" fillId="4" borderId="42" xfId="0" applyFont="1" applyFill="1" applyBorder="1" applyAlignment="1">
      <alignment horizontal="right" wrapText="1"/>
    </xf>
    <xf numFmtId="0" fontId="13" fillId="0" borderId="21" xfId="0" applyFont="1" applyBorder="1" applyAlignment="1">
      <alignment horizontal="right" wrapText="1"/>
    </xf>
    <xf numFmtId="0" fontId="13" fillId="4" borderId="85" xfId="0" applyFont="1" applyFill="1" applyBorder="1" applyAlignment="1">
      <alignment horizontal="right" vertical="center" wrapText="1"/>
    </xf>
    <xf numFmtId="0" fontId="13" fillId="0" borderId="58" xfId="0" applyFont="1" applyBorder="1" applyAlignment="1">
      <alignment horizontal="right" wrapText="1"/>
    </xf>
    <xf numFmtId="0" fontId="19" fillId="4" borderId="15" xfId="0" applyFont="1" applyFill="1" applyBorder="1" applyAlignment="1">
      <alignment horizontal="left" vertical="top" wrapText="1"/>
    </xf>
    <xf numFmtId="0" fontId="19" fillId="0" borderId="114" xfId="0" applyFont="1" applyBorder="1" applyAlignment="1">
      <alignment horizontal="left" vertical="top" wrapText="1"/>
    </xf>
    <xf numFmtId="0" fontId="19" fillId="4" borderId="89" xfId="0" applyFont="1" applyFill="1" applyBorder="1" applyAlignment="1">
      <alignment horizontal="left" vertical="top" wrapText="1"/>
    </xf>
    <xf numFmtId="0" fontId="70" fillId="61" borderId="4" xfId="0" applyFont="1" applyFill="1" applyBorder="1" applyAlignment="1" applyProtection="1">
      <alignment horizontal="left" vertical="top" wrapText="1"/>
    </xf>
    <xf numFmtId="0" fontId="0" fillId="0" borderId="5" xfId="0" applyBorder="1" applyAlignment="1">
      <alignment horizontal="left" vertical="top" wrapText="1"/>
    </xf>
    <xf numFmtId="165" fontId="45" fillId="0" borderId="84" xfId="0" applyNumberFormat="1" applyFont="1" applyFill="1" applyBorder="1" applyAlignment="1">
      <alignment horizontal="right" vertical="center" wrapText="1"/>
    </xf>
    <xf numFmtId="0" fontId="45" fillId="0" borderId="137" xfId="0" applyFont="1" applyFill="1" applyBorder="1" applyAlignment="1">
      <alignment horizontal="right" vertical="center" wrapText="1"/>
    </xf>
    <xf numFmtId="0" fontId="70" fillId="61" borderId="10" xfId="0" applyFont="1" applyFill="1" applyBorder="1" applyAlignment="1">
      <alignment horizontal="left" vertical="top" wrapText="1"/>
    </xf>
    <xf numFmtId="0" fontId="0" fillId="0" borderId="11" xfId="0" applyBorder="1" applyAlignment="1">
      <alignment horizontal="left" vertical="top" wrapText="1"/>
    </xf>
  </cellXfs>
  <cellStyles count="196">
    <cellStyle name="20% - Accent1" xfId="37" xr:uid="{00000000-0005-0000-0000-000000000000}"/>
    <cellStyle name="20% - Accent1 2" xfId="64" xr:uid="{00000000-0005-0000-0000-000001000000}"/>
    <cellStyle name="20% - Accent1 3" xfId="78" xr:uid="{00000000-0005-0000-0000-000002000000}"/>
    <cellStyle name="20% - Accent1 4" xfId="97" xr:uid="{00000000-0005-0000-0000-000003000000}"/>
    <cellStyle name="20% - Accent2" xfId="41" xr:uid="{00000000-0005-0000-0000-000004000000}"/>
    <cellStyle name="20% - Accent2 2" xfId="66" xr:uid="{00000000-0005-0000-0000-000005000000}"/>
    <cellStyle name="20% - Accent2 3" xfId="80" xr:uid="{00000000-0005-0000-0000-000006000000}"/>
    <cellStyle name="20% - Accent2 4" xfId="99" xr:uid="{00000000-0005-0000-0000-000007000000}"/>
    <cellStyle name="20% - Accent3" xfId="45" xr:uid="{00000000-0005-0000-0000-000008000000}"/>
    <cellStyle name="20% - Accent3 2" xfId="68" xr:uid="{00000000-0005-0000-0000-000009000000}"/>
    <cellStyle name="20% - Accent3 3" xfId="82" xr:uid="{00000000-0005-0000-0000-00000A000000}"/>
    <cellStyle name="20% - Accent3 4" xfId="101" xr:uid="{00000000-0005-0000-0000-00000B000000}"/>
    <cellStyle name="20% - Accent4" xfId="49" xr:uid="{00000000-0005-0000-0000-00000C000000}"/>
    <cellStyle name="20% - Accent4 2" xfId="70" xr:uid="{00000000-0005-0000-0000-00000D000000}"/>
    <cellStyle name="20% - Accent4 3" xfId="84" xr:uid="{00000000-0005-0000-0000-00000E000000}"/>
    <cellStyle name="20% - Accent4 4" xfId="103" xr:uid="{00000000-0005-0000-0000-00000F000000}"/>
    <cellStyle name="20% - Accent5" xfId="53" xr:uid="{00000000-0005-0000-0000-000010000000}"/>
    <cellStyle name="20% - Accent5 2" xfId="72" xr:uid="{00000000-0005-0000-0000-000011000000}"/>
    <cellStyle name="20% - Accent5 3" xfId="86" xr:uid="{00000000-0005-0000-0000-000012000000}"/>
    <cellStyle name="20% - Accent5 4" xfId="105" xr:uid="{00000000-0005-0000-0000-000013000000}"/>
    <cellStyle name="20% - Accent6" xfId="57" xr:uid="{00000000-0005-0000-0000-000014000000}"/>
    <cellStyle name="20% - Accent6 2" xfId="74" xr:uid="{00000000-0005-0000-0000-000015000000}"/>
    <cellStyle name="20% - Accent6 3" xfId="88" xr:uid="{00000000-0005-0000-0000-000016000000}"/>
    <cellStyle name="20% - Accent6 4" xfId="107" xr:uid="{00000000-0005-0000-0000-000017000000}"/>
    <cellStyle name="40% - Accent1" xfId="38" xr:uid="{00000000-0005-0000-0000-000018000000}"/>
    <cellStyle name="40% - Accent1 2" xfId="65" xr:uid="{00000000-0005-0000-0000-000019000000}"/>
    <cellStyle name="40% - Accent1 3" xfId="79" xr:uid="{00000000-0005-0000-0000-00001A000000}"/>
    <cellStyle name="40% - Accent1 4" xfId="98" xr:uid="{00000000-0005-0000-0000-00001B000000}"/>
    <cellStyle name="40% - Accent2" xfId="42" xr:uid="{00000000-0005-0000-0000-00001C000000}"/>
    <cellStyle name="40% - Accent2 2" xfId="67" xr:uid="{00000000-0005-0000-0000-00001D000000}"/>
    <cellStyle name="40% - Accent2 3" xfId="81" xr:uid="{00000000-0005-0000-0000-00001E000000}"/>
    <cellStyle name="40% - Accent2 4" xfId="100" xr:uid="{00000000-0005-0000-0000-00001F000000}"/>
    <cellStyle name="40% - Accent3" xfId="46" xr:uid="{00000000-0005-0000-0000-000020000000}"/>
    <cellStyle name="40% - Accent3 2" xfId="69" xr:uid="{00000000-0005-0000-0000-000021000000}"/>
    <cellStyle name="40% - Accent3 3" xfId="83" xr:uid="{00000000-0005-0000-0000-000022000000}"/>
    <cellStyle name="40% - Accent3 4" xfId="102" xr:uid="{00000000-0005-0000-0000-000023000000}"/>
    <cellStyle name="40% - Accent4" xfId="50" xr:uid="{00000000-0005-0000-0000-000024000000}"/>
    <cellStyle name="40% - Accent4 2" xfId="71" xr:uid="{00000000-0005-0000-0000-000025000000}"/>
    <cellStyle name="40% - Accent4 3" xfId="85" xr:uid="{00000000-0005-0000-0000-000026000000}"/>
    <cellStyle name="40% - Accent4 4" xfId="104" xr:uid="{00000000-0005-0000-0000-000027000000}"/>
    <cellStyle name="40% - Accent5" xfId="54" xr:uid="{00000000-0005-0000-0000-000028000000}"/>
    <cellStyle name="40% - Accent5 2" xfId="73" xr:uid="{00000000-0005-0000-0000-000029000000}"/>
    <cellStyle name="40% - Accent5 3" xfId="87" xr:uid="{00000000-0005-0000-0000-00002A000000}"/>
    <cellStyle name="40% - Accent5 4" xfId="106" xr:uid="{00000000-0005-0000-0000-00002B000000}"/>
    <cellStyle name="40% - Accent6" xfId="58" xr:uid="{00000000-0005-0000-0000-00002C000000}"/>
    <cellStyle name="40% - Accent6 2" xfId="75" xr:uid="{00000000-0005-0000-0000-00002D000000}"/>
    <cellStyle name="40% - Accent6 3" xfId="89" xr:uid="{00000000-0005-0000-0000-00002E000000}"/>
    <cellStyle name="40% - Accent6 4" xfId="108" xr:uid="{00000000-0005-0000-0000-00002F000000}"/>
    <cellStyle name="60% - Accent1" xfId="39" builtinId="32" customBuiltin="1"/>
    <cellStyle name="60% - Accent1 2" xfId="113" xr:uid="{00000000-0005-0000-0000-000031000000}"/>
    <cellStyle name="60% - Accent1 3" xfId="114" xr:uid="{00000000-0005-0000-0000-000032000000}"/>
    <cellStyle name="60% - Accent2" xfId="43" builtinId="36" customBuiltin="1"/>
    <cellStyle name="60% - Accent2 2" xfId="115" xr:uid="{00000000-0005-0000-0000-000034000000}"/>
    <cellStyle name="60% - Accent2 3" xfId="116" xr:uid="{00000000-0005-0000-0000-000035000000}"/>
    <cellStyle name="60% - Accent3" xfId="47" builtinId="40" customBuiltin="1"/>
    <cellStyle name="60% - Accent3 2" xfId="117" xr:uid="{00000000-0005-0000-0000-000037000000}"/>
    <cellStyle name="60% - Accent3 3" xfId="118" xr:uid="{00000000-0005-0000-0000-000038000000}"/>
    <cellStyle name="60% - Accent4" xfId="51" builtinId="44" customBuiltin="1"/>
    <cellStyle name="60% - Accent4 2" xfId="119" xr:uid="{00000000-0005-0000-0000-00003A000000}"/>
    <cellStyle name="60% - Accent4 3" xfId="120" xr:uid="{00000000-0005-0000-0000-00003B000000}"/>
    <cellStyle name="60% - Accent5" xfId="55" builtinId="48" customBuiltin="1"/>
    <cellStyle name="60% - Accent5 2" xfId="121" xr:uid="{00000000-0005-0000-0000-00003D000000}"/>
    <cellStyle name="60% - Accent5 3" xfId="122" xr:uid="{00000000-0005-0000-0000-00003E000000}"/>
    <cellStyle name="60% - Accent6" xfId="59" builtinId="52" customBuiltin="1"/>
    <cellStyle name="60% - Accent6 2" xfId="123" xr:uid="{00000000-0005-0000-0000-000040000000}"/>
    <cellStyle name="60% - Accent6 3" xfId="124" xr:uid="{00000000-0005-0000-0000-000041000000}"/>
    <cellStyle name="Accent1" xfId="36" builtinId="29" customBuiltin="1"/>
    <cellStyle name="Accent1 2" xfId="7" xr:uid="{00000000-0005-0000-0000-000043000000}"/>
    <cellStyle name="Accent1 3" xfId="125" xr:uid="{00000000-0005-0000-0000-000044000000}"/>
    <cellStyle name="Accent1 4" xfId="126" xr:uid="{00000000-0005-0000-0000-000045000000}"/>
    <cellStyle name="Accent2" xfId="40" builtinId="33" customBuiltin="1"/>
    <cellStyle name="Accent2 2" xfId="127" xr:uid="{00000000-0005-0000-0000-000047000000}"/>
    <cellStyle name="Accent2 3" xfId="128" xr:uid="{00000000-0005-0000-0000-000048000000}"/>
    <cellStyle name="Accent3" xfId="44" builtinId="37" customBuiltin="1"/>
    <cellStyle name="Accent3 2" xfId="129" xr:uid="{00000000-0005-0000-0000-00004A000000}"/>
    <cellStyle name="Accent3 3" xfId="130" xr:uid="{00000000-0005-0000-0000-00004B000000}"/>
    <cellStyle name="Accent4" xfId="48" builtinId="41" customBuiltin="1"/>
    <cellStyle name="Accent4 2" xfId="131" xr:uid="{00000000-0005-0000-0000-00004D000000}"/>
    <cellStyle name="Accent4 3" xfId="132" xr:uid="{00000000-0005-0000-0000-00004E000000}"/>
    <cellStyle name="Accent5" xfId="52" builtinId="45" customBuiltin="1"/>
    <cellStyle name="Accent5 2" xfId="133" xr:uid="{00000000-0005-0000-0000-000050000000}"/>
    <cellStyle name="Accent5 3" xfId="134" xr:uid="{00000000-0005-0000-0000-000051000000}"/>
    <cellStyle name="Accent6" xfId="56" builtinId="49" customBuiltin="1"/>
    <cellStyle name="Accent6 2" xfId="135" xr:uid="{00000000-0005-0000-0000-000053000000}"/>
    <cellStyle name="Accent6 3" xfId="136" xr:uid="{00000000-0005-0000-0000-000054000000}"/>
    <cellStyle name="Bad" xfId="26" builtinId="27" customBuiltin="1"/>
    <cellStyle name="Bad 2" xfId="137" xr:uid="{00000000-0005-0000-0000-000056000000}"/>
    <cellStyle name="Bad 3" xfId="138" xr:uid="{00000000-0005-0000-0000-000057000000}"/>
    <cellStyle name="Body: normal cell" xfId="188" xr:uid="{00000000-0005-0000-0000-000058000000}"/>
    <cellStyle name="Calculation" xfId="30" builtinId="22" customBuiltin="1"/>
    <cellStyle name="Calculation 2" xfId="139" xr:uid="{00000000-0005-0000-0000-00005A000000}"/>
    <cellStyle name="Calculation 3" xfId="140" xr:uid="{00000000-0005-0000-0000-00005B000000}"/>
    <cellStyle name="Calculation 4" xfId="141" xr:uid="{00000000-0005-0000-0000-00005C000000}"/>
    <cellStyle name="Check Cell" xfId="32" builtinId="23" customBuiltin="1"/>
    <cellStyle name="Check Cell 2" xfId="142" xr:uid="{00000000-0005-0000-0000-00005E000000}"/>
    <cellStyle name="Check Cell 3" xfId="143" xr:uid="{00000000-0005-0000-0000-00005F000000}"/>
    <cellStyle name="Comma" xfId="1" builtinId="3"/>
    <cellStyle name="Comma 2" xfId="15" xr:uid="{00000000-0005-0000-0000-000061000000}"/>
    <cellStyle name="Comma 3" xfId="94" xr:uid="{00000000-0005-0000-0000-000062000000}"/>
    <cellStyle name="Comma 3 2" xfId="144" xr:uid="{00000000-0005-0000-0000-000063000000}"/>
    <cellStyle name="Comma 4" xfId="185" xr:uid="{00000000-0005-0000-0000-000064000000}"/>
    <cellStyle name="Comma 5" xfId="17" xr:uid="{00000000-0005-0000-0000-000065000000}"/>
    <cellStyle name="Currency 2" xfId="145" xr:uid="{00000000-0005-0000-0000-000066000000}"/>
    <cellStyle name="Currency 3" xfId="146" xr:uid="{00000000-0005-0000-0000-000067000000}"/>
    <cellStyle name="Currency 3 2" xfId="147" xr:uid="{00000000-0005-0000-0000-000068000000}"/>
    <cellStyle name="Explanatory Text" xfId="34" builtinId="53" customBuiltin="1"/>
    <cellStyle name="Explanatory Text 2" xfId="148" xr:uid="{00000000-0005-0000-0000-00006A000000}"/>
    <cellStyle name="Explanatory Text 3" xfId="149" xr:uid="{00000000-0005-0000-0000-00006B000000}"/>
    <cellStyle name="Font: Calibri, 9pt regular" xfId="183" xr:uid="{00000000-0005-0000-0000-00006C000000}"/>
    <cellStyle name="Footnotes: all except top row" xfId="190" xr:uid="{00000000-0005-0000-0000-00006D000000}"/>
    <cellStyle name="Footnotes: top row" xfId="191" xr:uid="{00000000-0005-0000-0000-00006E000000}"/>
    <cellStyle name="Good" xfId="25" builtinId="26" customBuiltin="1"/>
    <cellStyle name="Good 2" xfId="150" xr:uid="{00000000-0005-0000-0000-000070000000}"/>
    <cellStyle name="Good 3" xfId="151" xr:uid="{00000000-0005-0000-0000-000071000000}"/>
    <cellStyle name="Header: bottom row" xfId="187" xr:uid="{00000000-0005-0000-0000-000072000000}"/>
    <cellStyle name="Header: top rows" xfId="192" xr:uid="{00000000-0005-0000-0000-000073000000}"/>
    <cellStyle name="Heading 1" xfId="21" builtinId="16" customBuiltin="1"/>
    <cellStyle name="Heading 1 2" xfId="152" xr:uid="{00000000-0005-0000-0000-000075000000}"/>
    <cellStyle name="Heading 1 3" xfId="153" xr:uid="{00000000-0005-0000-0000-000076000000}"/>
    <cellStyle name="Heading 2" xfId="22" builtinId="17" customBuiltin="1"/>
    <cellStyle name="Heading 2 2" xfId="154" xr:uid="{00000000-0005-0000-0000-000078000000}"/>
    <cellStyle name="Heading 2 3" xfId="155" xr:uid="{00000000-0005-0000-0000-000079000000}"/>
    <cellStyle name="Heading 3" xfId="23" builtinId="18" customBuiltin="1"/>
    <cellStyle name="Heading 3 2" xfId="156" xr:uid="{00000000-0005-0000-0000-00007B000000}"/>
    <cellStyle name="Heading 3 3" xfId="157" xr:uid="{00000000-0005-0000-0000-00007C000000}"/>
    <cellStyle name="Heading 4" xfId="24" builtinId="19" customBuiltin="1"/>
    <cellStyle name="Heading 4 2" xfId="158" xr:uid="{00000000-0005-0000-0000-00007E000000}"/>
    <cellStyle name="Heading 4 3" xfId="159" xr:uid="{00000000-0005-0000-0000-00007F000000}"/>
    <cellStyle name="Hyperlink" xfId="2" builtinId="8"/>
    <cellStyle name="Hyperlink 2" xfId="6" xr:uid="{00000000-0005-0000-0000-000081000000}"/>
    <cellStyle name="Hyperlink 2 2" xfId="160" xr:uid="{00000000-0005-0000-0000-000082000000}"/>
    <cellStyle name="Hyperlink 2 3" xfId="161" xr:uid="{00000000-0005-0000-0000-000083000000}"/>
    <cellStyle name="Hyperlink 3" xfId="111" xr:uid="{00000000-0005-0000-0000-000084000000}"/>
    <cellStyle name="Input" xfId="28" builtinId="20" customBuiltin="1"/>
    <cellStyle name="Input 2" xfId="162" xr:uid="{00000000-0005-0000-0000-000086000000}"/>
    <cellStyle name="Input 3" xfId="163" xr:uid="{00000000-0005-0000-0000-000087000000}"/>
    <cellStyle name="Input 4" xfId="164" xr:uid="{00000000-0005-0000-0000-000088000000}"/>
    <cellStyle name="Linked Cell" xfId="31" builtinId="24" customBuiltin="1"/>
    <cellStyle name="Linked Cell 2" xfId="165" xr:uid="{00000000-0005-0000-0000-00008A000000}"/>
    <cellStyle name="Linked Cell 3" xfId="166" xr:uid="{00000000-0005-0000-0000-00008B000000}"/>
    <cellStyle name="Neutral" xfId="27" builtinId="28" customBuiltin="1"/>
    <cellStyle name="Neutral 2" xfId="167" xr:uid="{00000000-0005-0000-0000-00008D000000}"/>
    <cellStyle name="Neutral 3" xfId="168" xr:uid="{00000000-0005-0000-0000-00008E000000}"/>
    <cellStyle name="Normal" xfId="0" builtinId="0"/>
    <cellStyle name="Normal 10" xfId="92" xr:uid="{00000000-0005-0000-0000-000090000000}"/>
    <cellStyle name="Normal 10 2" xfId="112" xr:uid="{00000000-0005-0000-0000-000091000000}"/>
    <cellStyle name="Normal 11" xfId="93" xr:uid="{00000000-0005-0000-0000-000092000000}"/>
    <cellStyle name="Normal 12" xfId="95" xr:uid="{00000000-0005-0000-0000-000093000000}"/>
    <cellStyle name="Normal 13" xfId="110" xr:uid="{00000000-0005-0000-0000-000094000000}"/>
    <cellStyle name="Normal 14" xfId="184" xr:uid="{00000000-0005-0000-0000-000095000000}"/>
    <cellStyle name="Normal 2" xfId="4" xr:uid="{00000000-0005-0000-0000-000096000000}"/>
    <cellStyle name="Normal 2 2" xfId="19" xr:uid="{00000000-0005-0000-0000-000097000000}"/>
    <cellStyle name="Normal 2 2 2" xfId="169" xr:uid="{00000000-0005-0000-0000-000098000000}"/>
    <cellStyle name="Normal 2 2_2010 San Mateo County Master Data Workbook" xfId="170" xr:uid="{00000000-0005-0000-0000-000099000000}"/>
    <cellStyle name="Normal 2_Inventory Data Checklist" xfId="171" xr:uid="{00000000-0005-0000-0000-00009A000000}"/>
    <cellStyle name="Normal 3" xfId="5" xr:uid="{00000000-0005-0000-0000-00009B000000}"/>
    <cellStyle name="Normal 3 2" xfId="9" xr:uid="{00000000-0005-0000-0000-00009C000000}"/>
    <cellStyle name="Normal 3 2 2" xfId="14" xr:uid="{00000000-0005-0000-0000-00009D000000}"/>
    <cellStyle name="Normal 3 2 3" xfId="12" xr:uid="{00000000-0005-0000-0000-00009E000000}"/>
    <cellStyle name="Normal 3 3" xfId="10" xr:uid="{00000000-0005-0000-0000-00009F000000}"/>
    <cellStyle name="Normal 3 4" xfId="172" xr:uid="{00000000-0005-0000-0000-0000A0000000}"/>
    <cellStyle name="Normal 4" xfId="8" xr:uid="{00000000-0005-0000-0000-0000A1000000}"/>
    <cellStyle name="Normal 4 2" xfId="13" xr:uid="{00000000-0005-0000-0000-0000A2000000}"/>
    <cellStyle name="Normal 4 3" xfId="11" xr:uid="{00000000-0005-0000-0000-0000A3000000}"/>
    <cellStyle name="Normal 4 4" xfId="16" xr:uid="{00000000-0005-0000-0000-0000A4000000}"/>
    <cellStyle name="Normal 5" xfId="60" xr:uid="{00000000-0005-0000-0000-0000A5000000}"/>
    <cellStyle name="Normal 5 2" xfId="109" xr:uid="{00000000-0005-0000-0000-0000A6000000}"/>
    <cellStyle name="Normal 6" xfId="62" xr:uid="{00000000-0005-0000-0000-0000A7000000}"/>
    <cellStyle name="Normal 7" xfId="76" xr:uid="{00000000-0005-0000-0000-0000A8000000}"/>
    <cellStyle name="Normal 8" xfId="90" xr:uid="{00000000-0005-0000-0000-0000A9000000}"/>
    <cellStyle name="Normal 9" xfId="91" xr:uid="{00000000-0005-0000-0000-0000AA000000}"/>
    <cellStyle name="Note 2" xfId="61" xr:uid="{00000000-0005-0000-0000-0000AB000000}"/>
    <cellStyle name="Note 3" xfId="63" xr:uid="{00000000-0005-0000-0000-0000AC000000}"/>
    <cellStyle name="Note 4" xfId="77" xr:uid="{00000000-0005-0000-0000-0000AD000000}"/>
    <cellStyle name="Note 5" xfId="96" xr:uid="{00000000-0005-0000-0000-0000AE000000}"/>
    <cellStyle name="Output" xfId="29" builtinId="21" customBuiltin="1"/>
    <cellStyle name="Output 2" xfId="173" xr:uid="{00000000-0005-0000-0000-0000B0000000}"/>
    <cellStyle name="Output 3" xfId="174" xr:uid="{00000000-0005-0000-0000-0000B1000000}"/>
    <cellStyle name="Output 4" xfId="175" xr:uid="{00000000-0005-0000-0000-0000B2000000}"/>
    <cellStyle name="Parent row" xfId="189" xr:uid="{00000000-0005-0000-0000-0000B3000000}"/>
    <cellStyle name="Percent" xfId="3" builtinId="5"/>
    <cellStyle name="Percent 2" xfId="18" xr:uid="{00000000-0005-0000-0000-0000B5000000}"/>
    <cellStyle name="Percent 3" xfId="186" xr:uid="{00000000-0005-0000-0000-0000B6000000}"/>
    <cellStyle name="Section Break" xfId="193" xr:uid="{00000000-0005-0000-0000-0000B7000000}"/>
    <cellStyle name="Section Break: parent row" xfId="194" xr:uid="{00000000-0005-0000-0000-0000B8000000}"/>
    <cellStyle name="Table title" xfId="195" xr:uid="{00000000-0005-0000-0000-0000B9000000}"/>
    <cellStyle name="Title" xfId="20" builtinId="15" customBuiltin="1"/>
    <cellStyle name="Title 2" xfId="176" xr:uid="{00000000-0005-0000-0000-0000BB000000}"/>
    <cellStyle name="Title 3" xfId="177" xr:uid="{00000000-0005-0000-0000-0000BC000000}"/>
    <cellStyle name="Total" xfId="35" builtinId="25" customBuiltin="1"/>
    <cellStyle name="Total 2" xfId="178" xr:uid="{00000000-0005-0000-0000-0000BE000000}"/>
    <cellStyle name="Total 3" xfId="179" xr:uid="{00000000-0005-0000-0000-0000BF000000}"/>
    <cellStyle name="Total 4" xfId="180" xr:uid="{00000000-0005-0000-0000-0000C0000000}"/>
    <cellStyle name="Warning Text" xfId="33" builtinId="11" customBuiltin="1"/>
    <cellStyle name="Warning Text 2" xfId="181" xr:uid="{00000000-0005-0000-0000-0000C2000000}"/>
    <cellStyle name="Warning Text 3" xfId="182" xr:uid="{00000000-0005-0000-0000-0000C3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FFD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Percent</a:t>
            </a:r>
            <a:r>
              <a:rPr lang="en-US" baseline="0"/>
              <a:t> of Total Building Energy Emissions by Customer Type and Fuel</a:t>
            </a:r>
            <a:endParaRPr lang="en-US"/>
          </a:p>
        </c:rich>
      </c:tx>
      <c:layout>
        <c:manualLayout>
          <c:xMode val="edge"/>
          <c:yMode val="edge"/>
          <c:x val="0.21919968264072442"/>
          <c:y val="3.577291649648711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3443787122790735"/>
          <c:y val="0.15624533109446734"/>
          <c:w val="0.35290323178640676"/>
          <c:h val="0.76492162797326269"/>
        </c:manualLayout>
      </c:layout>
      <c:barChart>
        <c:barDir val="col"/>
        <c:grouping val="stacked"/>
        <c:varyColors val="0"/>
        <c:ser>
          <c:idx val="3"/>
          <c:order val="0"/>
          <c:tx>
            <c:strRef>
              <c:f>'All Emissions - Summary'!$C$102</c:f>
              <c:strCache>
                <c:ptCount val="1"/>
                <c:pt idx="0">
                  <c:v> Comm. &amp; Man. Natural Gas</c:v>
                </c:pt>
              </c:strCache>
            </c:strRef>
          </c:tx>
          <c:spPr>
            <a:solidFill>
              <a:schemeClr val="accent4"/>
            </a:solidFill>
            <a:ln>
              <a:noFill/>
            </a:ln>
            <a:effectLst/>
          </c:spPr>
          <c:invertIfNegative val="0"/>
          <c:dLbls>
            <c:delete val="1"/>
          </c:dLbls>
          <c:cat>
            <c:strRef>
              <c:f>'All Emissions - Summary'!$F$40</c:f>
              <c:strCache>
                <c:ptCount val="1"/>
                <c:pt idx="0">
                  <c:v>Emissions 
(MT CO2e)</c:v>
                </c:pt>
              </c:strCache>
            </c:strRef>
          </c:cat>
          <c:val>
            <c:numRef>
              <c:f>'All Emissions - Summary'!$F$102</c:f>
              <c:numCache>
                <c:formatCode>0.0%</c:formatCode>
                <c:ptCount val="1"/>
                <c:pt idx="0">
                  <c:v>0</c:v>
                </c:pt>
              </c:numCache>
            </c:numRef>
          </c:val>
          <c:extLst>
            <c:ext xmlns:c16="http://schemas.microsoft.com/office/drawing/2014/chart" uri="{C3380CC4-5D6E-409C-BE32-E72D297353CC}">
              <c16:uniqueId val="{00000000-FB74-4655-8E23-058E93D0F67C}"/>
            </c:ext>
          </c:extLst>
        </c:ser>
        <c:ser>
          <c:idx val="1"/>
          <c:order val="1"/>
          <c:tx>
            <c:strRef>
              <c:f>'All Emissions - Summary'!$C$99</c:f>
              <c:strCache>
                <c:ptCount val="1"/>
                <c:pt idx="0">
                  <c:v> Res. Natural Gas</c:v>
                </c:pt>
              </c:strCache>
            </c:strRef>
          </c:tx>
          <c:spPr>
            <a:solidFill>
              <a:schemeClr val="accent2"/>
            </a:solidFill>
            <a:ln>
              <a:noFill/>
            </a:ln>
            <a:effectLst/>
          </c:spPr>
          <c:invertIfNegative val="0"/>
          <c:dLbls>
            <c:delete val="1"/>
          </c:dLbls>
          <c:cat>
            <c:strRef>
              <c:f>'All Emissions - Summary'!$F$40</c:f>
              <c:strCache>
                <c:ptCount val="1"/>
                <c:pt idx="0">
                  <c:v>Emissions 
(MT CO2e)</c:v>
                </c:pt>
              </c:strCache>
            </c:strRef>
          </c:cat>
          <c:val>
            <c:numRef>
              <c:f>'All Emissions - Summary'!$F$99</c:f>
              <c:numCache>
                <c:formatCode>0.0%</c:formatCode>
                <c:ptCount val="1"/>
                <c:pt idx="0">
                  <c:v>0</c:v>
                </c:pt>
              </c:numCache>
            </c:numRef>
          </c:val>
          <c:extLst>
            <c:ext xmlns:c16="http://schemas.microsoft.com/office/drawing/2014/chart" uri="{C3380CC4-5D6E-409C-BE32-E72D297353CC}">
              <c16:uniqueId val="{00000001-FB74-4655-8E23-058E93D0F67C}"/>
            </c:ext>
          </c:extLst>
        </c:ser>
        <c:ser>
          <c:idx val="2"/>
          <c:order val="2"/>
          <c:tx>
            <c:strRef>
              <c:f>'All Emissions - Summary'!$C$101</c:f>
              <c:strCache>
                <c:ptCount val="1"/>
                <c:pt idx="0">
                  <c:v> Comm. &amp; Man. Electricity</c:v>
                </c:pt>
              </c:strCache>
            </c:strRef>
          </c:tx>
          <c:spPr>
            <a:solidFill>
              <a:schemeClr val="accent3"/>
            </a:solidFill>
            <a:ln>
              <a:noFill/>
            </a:ln>
            <a:effectLst>
              <a:outerShdw blurRad="40000" dist="23000" dir="5400000" rotWithShape="0">
                <a:srgbClr val="000000">
                  <a:alpha val="35000"/>
                </a:srgbClr>
              </a:outerShdw>
            </a:effectLst>
          </c:spPr>
          <c:invertIfNegative val="0"/>
          <c:dLbls>
            <c:delete val="1"/>
          </c:dLbls>
          <c:cat>
            <c:strRef>
              <c:f>'All Emissions - Summary'!$F$40</c:f>
              <c:strCache>
                <c:ptCount val="1"/>
                <c:pt idx="0">
                  <c:v>Emissions 
(MT CO2e)</c:v>
                </c:pt>
              </c:strCache>
            </c:strRef>
          </c:cat>
          <c:val>
            <c:numRef>
              <c:f>'All Emissions - Summary'!$F$101</c:f>
              <c:numCache>
                <c:formatCode>0.0%</c:formatCode>
                <c:ptCount val="1"/>
                <c:pt idx="0">
                  <c:v>0</c:v>
                </c:pt>
              </c:numCache>
            </c:numRef>
          </c:val>
          <c:extLst>
            <c:ext xmlns:c16="http://schemas.microsoft.com/office/drawing/2014/chart" uri="{C3380CC4-5D6E-409C-BE32-E72D297353CC}">
              <c16:uniqueId val="{00000002-FB74-4655-8E23-058E93D0F67C}"/>
            </c:ext>
          </c:extLst>
        </c:ser>
        <c:ser>
          <c:idx val="0"/>
          <c:order val="3"/>
          <c:tx>
            <c:strRef>
              <c:f>'All Emissions - Summary'!$C$98</c:f>
              <c:strCache>
                <c:ptCount val="1"/>
                <c:pt idx="0">
                  <c:v> Res. Electricity</c:v>
                </c:pt>
              </c:strCache>
            </c:strRef>
          </c:tx>
          <c:spPr>
            <a:solidFill>
              <a:schemeClr val="accent1"/>
            </a:solidFill>
            <a:ln>
              <a:noFill/>
            </a:ln>
            <a:effectLst/>
          </c:spPr>
          <c:invertIfNegative val="0"/>
          <c:dLbls>
            <c:delete val="1"/>
          </c:dLbls>
          <c:cat>
            <c:strRef>
              <c:f>'All Emissions - Summary'!$F$40</c:f>
              <c:strCache>
                <c:ptCount val="1"/>
                <c:pt idx="0">
                  <c:v>Emissions 
(MT CO2e)</c:v>
                </c:pt>
              </c:strCache>
            </c:strRef>
          </c:cat>
          <c:val>
            <c:numRef>
              <c:f>'All Emissions - Summary'!$F$98</c:f>
              <c:numCache>
                <c:formatCode>0.0%</c:formatCode>
                <c:ptCount val="1"/>
                <c:pt idx="0">
                  <c:v>0</c:v>
                </c:pt>
              </c:numCache>
            </c:numRef>
          </c:val>
          <c:extLst>
            <c:ext xmlns:c16="http://schemas.microsoft.com/office/drawing/2014/chart" uri="{C3380CC4-5D6E-409C-BE32-E72D297353CC}">
              <c16:uniqueId val="{00000003-FB74-4655-8E23-058E93D0F67C}"/>
            </c:ext>
          </c:extLst>
        </c:ser>
        <c:ser>
          <c:idx val="4"/>
          <c:order val="4"/>
          <c:tx>
            <c:strRef>
              <c:f>'All Emissions - Summary'!$C$100</c:f>
              <c:strCache>
                <c:ptCount val="1"/>
                <c:pt idx="0">
                  <c:v> Res. Fuel Oil</c:v>
                </c:pt>
              </c:strCache>
            </c:strRef>
          </c:tx>
          <c:spPr>
            <a:solidFill>
              <a:schemeClr val="accent5"/>
            </a:solidFill>
            <a:ln>
              <a:noFill/>
            </a:ln>
            <a:effectLst/>
          </c:spPr>
          <c:invertIfNegative val="0"/>
          <c:dLbls>
            <c:delete val="1"/>
          </c:dLbls>
          <c:val>
            <c:numRef>
              <c:f>'All Emissions - Summary'!$F$100</c:f>
              <c:numCache>
                <c:formatCode>0.0%</c:formatCode>
                <c:ptCount val="1"/>
                <c:pt idx="0">
                  <c:v>0</c:v>
                </c:pt>
              </c:numCache>
            </c:numRef>
          </c:val>
          <c:extLst>
            <c:ext xmlns:c16="http://schemas.microsoft.com/office/drawing/2014/chart" uri="{C3380CC4-5D6E-409C-BE32-E72D297353CC}">
              <c16:uniqueId val="{00000004-FB74-4655-8E23-058E93D0F67C}"/>
            </c:ext>
          </c:extLst>
        </c:ser>
        <c:ser>
          <c:idx val="5"/>
          <c:order val="5"/>
          <c:tx>
            <c:strRef>
              <c:f>'All Emissions - Summary'!$C$103</c:f>
              <c:strCache>
                <c:ptCount val="1"/>
                <c:pt idx="0">
                  <c:v> Comm. &amp; Man. Fuel Oil</c:v>
                </c:pt>
              </c:strCache>
            </c:strRef>
          </c:tx>
          <c:spPr>
            <a:solidFill>
              <a:schemeClr val="accent6"/>
            </a:solidFill>
            <a:ln>
              <a:noFill/>
            </a:ln>
            <a:effectLst/>
          </c:spPr>
          <c:invertIfNegative val="0"/>
          <c:dLbls>
            <c:delete val="1"/>
          </c:dLbls>
          <c:val>
            <c:numRef>
              <c:f>'All Emissions - Summary'!$F$103</c:f>
              <c:numCache>
                <c:formatCode>0.0%</c:formatCode>
                <c:ptCount val="1"/>
                <c:pt idx="0">
                  <c:v>0</c:v>
                </c:pt>
              </c:numCache>
            </c:numRef>
          </c:val>
          <c:extLst>
            <c:ext xmlns:c16="http://schemas.microsoft.com/office/drawing/2014/chart" uri="{C3380CC4-5D6E-409C-BE32-E72D297353CC}">
              <c16:uniqueId val="{00000005-FB74-4655-8E23-058E93D0F67C}"/>
            </c:ext>
          </c:extLst>
        </c:ser>
        <c:dLbls>
          <c:showLegendKey val="0"/>
          <c:showVal val="1"/>
          <c:showCatName val="0"/>
          <c:showSerName val="0"/>
          <c:showPercent val="0"/>
          <c:showBubbleSize val="0"/>
        </c:dLbls>
        <c:gapWidth val="150"/>
        <c:overlap val="100"/>
        <c:axId val="457779208"/>
        <c:axId val="457780384"/>
      </c:barChart>
      <c:catAx>
        <c:axId val="457779208"/>
        <c:scaling>
          <c:orientation val="minMax"/>
        </c:scaling>
        <c:delete val="1"/>
        <c:axPos val="b"/>
        <c:numFmt formatCode="General" sourceLinked="1"/>
        <c:majorTickMark val="none"/>
        <c:minorTickMark val="none"/>
        <c:tickLblPos val="nextTo"/>
        <c:crossAx val="457780384"/>
        <c:crosses val="autoZero"/>
        <c:auto val="1"/>
        <c:lblAlgn val="ctr"/>
        <c:lblOffset val="100"/>
        <c:noMultiLvlLbl val="0"/>
      </c:catAx>
      <c:valAx>
        <c:axId val="457780384"/>
        <c:scaling>
          <c:orientation val="minMax"/>
          <c:max val="1"/>
          <c:min val="0"/>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 MT CO2e</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457779208"/>
        <c:crosses val="autoZero"/>
        <c:crossBetween val="between"/>
      </c:valAx>
      <c:spPr>
        <a:noFill/>
        <a:ln>
          <a:noFill/>
        </a:ln>
        <a:effectLst/>
      </c:spPr>
    </c:plotArea>
    <c:legend>
      <c:legendPos val="r"/>
      <c:layout>
        <c:manualLayout>
          <c:xMode val="edge"/>
          <c:yMode val="edge"/>
          <c:x val="0.46832082317371665"/>
          <c:y val="0.2091438838326074"/>
          <c:w val="0.36062396122806378"/>
          <c:h val="0.398211073110331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solidFill>
                <a:latin typeface="+mn-lt"/>
                <a:ea typeface="+mn-ea"/>
                <a:cs typeface="+mn-cs"/>
              </a:defRPr>
            </a:pPr>
            <a:r>
              <a:rPr lang="en-US" sz="1600" b="1">
                <a:solidFill>
                  <a:schemeClr val="tx2"/>
                </a:solidFill>
              </a:rPr>
              <a:t>Percentage of Building</a:t>
            </a:r>
            <a:r>
              <a:rPr lang="en-US" sz="1600" b="1" baseline="0">
                <a:solidFill>
                  <a:schemeClr val="tx2"/>
                </a:solidFill>
              </a:rPr>
              <a:t> Energy </a:t>
            </a:r>
            <a:r>
              <a:rPr lang="en-US" sz="1600" b="1">
                <a:solidFill>
                  <a:schemeClr val="tx2"/>
                </a:solidFill>
              </a:rPr>
              <a:t>Emissions</a:t>
            </a:r>
            <a:r>
              <a:rPr lang="en-US" sz="1600" b="1" baseline="0">
                <a:solidFill>
                  <a:schemeClr val="tx2"/>
                </a:solidFill>
              </a:rPr>
              <a:t> by Source Energy</a:t>
            </a:r>
            <a:endParaRPr lang="en-US" sz="1600" b="1">
              <a:solidFill>
                <a:schemeClr val="tx2"/>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2"/>
              </a:solidFill>
              <a:latin typeface="+mn-lt"/>
              <a:ea typeface="+mn-ea"/>
              <a:cs typeface="+mn-cs"/>
            </a:defRPr>
          </a:pPr>
          <a:endParaRPr lang="en-US"/>
        </a:p>
      </c:txPr>
    </c:title>
    <c:autoTitleDeleted val="0"/>
    <c:plotArea>
      <c:layout/>
      <c:pieChart>
        <c:varyColors val="1"/>
        <c:ser>
          <c:idx val="0"/>
          <c:order val="0"/>
          <c:spPr>
            <a:ln>
              <a:noFill/>
            </a:ln>
          </c:spPr>
          <c:dPt>
            <c:idx val="0"/>
            <c:bubble3D val="0"/>
            <c:spPr>
              <a:solidFill>
                <a:schemeClr val="accent4"/>
              </a:solidFill>
              <a:ln w="19050">
                <a:noFill/>
              </a:ln>
              <a:effectLst/>
            </c:spPr>
            <c:extLst>
              <c:ext xmlns:c16="http://schemas.microsoft.com/office/drawing/2014/chart" uri="{C3380CC4-5D6E-409C-BE32-E72D297353CC}">
                <c16:uniqueId val="{00000001-24BA-415D-8523-BDC04C757511}"/>
              </c:ext>
            </c:extLst>
          </c:dPt>
          <c:dPt>
            <c:idx val="1"/>
            <c:bubble3D val="0"/>
            <c:spPr>
              <a:solidFill>
                <a:schemeClr val="accent2"/>
              </a:solidFill>
              <a:ln w="19050">
                <a:noFill/>
              </a:ln>
              <a:effectLst/>
            </c:spPr>
            <c:extLst>
              <c:ext xmlns:c16="http://schemas.microsoft.com/office/drawing/2014/chart" uri="{C3380CC4-5D6E-409C-BE32-E72D297353CC}">
                <c16:uniqueId val="{00000003-24BA-415D-8523-BDC04C757511}"/>
              </c:ext>
            </c:extLst>
          </c:dPt>
          <c:dPt>
            <c:idx val="2"/>
            <c:bubble3D val="0"/>
            <c:spPr>
              <a:solidFill>
                <a:schemeClr val="accent3"/>
              </a:solidFill>
              <a:ln w="19050">
                <a:noFill/>
              </a:ln>
              <a:effectLst/>
            </c:spPr>
            <c:extLst>
              <c:ext xmlns:c16="http://schemas.microsoft.com/office/drawing/2014/chart" uri="{C3380CC4-5D6E-409C-BE32-E72D297353CC}">
                <c16:uniqueId val="{00000005-24BA-415D-8523-BDC04C757511}"/>
              </c:ext>
            </c:extLst>
          </c:dPt>
          <c:dLbls>
            <c:dLbl>
              <c:idx val="0"/>
              <c:layout>
                <c:manualLayout>
                  <c:x val="-0.15582761873494283"/>
                  <c:y val="0.14952286410142904"/>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fld id="{EF5EA90C-8663-4885-A759-527B509D78A5}" type="CATEGORYNAME">
                      <a:rPr lang="en-US">
                        <a:solidFill>
                          <a:schemeClr val="bg1"/>
                        </a:solidFill>
                      </a:rPr>
                      <a:pPr>
                        <a:defRPr>
                          <a:solidFill>
                            <a:schemeClr val="bg1"/>
                          </a:solidFill>
                        </a:defRPr>
                      </a:pPr>
                      <a:t>[CATEGORY NAME]</a:t>
                    </a:fld>
                    <a:r>
                      <a:rPr lang="en-US" baseline="0">
                        <a:solidFill>
                          <a:schemeClr val="bg1"/>
                        </a:solidFill>
                      </a:rPr>
                      <a:t>
</a:t>
                    </a:r>
                    <a:fld id="{7BE5CC47-58B3-4444-BE1E-45A089A288FB}" type="PERCENTAGE">
                      <a:rPr lang="en-US" sz="1200" b="1" baseline="0">
                        <a:solidFill>
                          <a:schemeClr val="bg1"/>
                        </a:solidFill>
                      </a:rPr>
                      <a:pPr>
                        <a:defRPr>
                          <a:solidFill>
                            <a:schemeClr val="bg1"/>
                          </a:solidFill>
                        </a:defRPr>
                      </a:pPr>
                      <a:t>[PERCENTAGE]</a:t>
                    </a:fld>
                    <a:endParaRPr lang="en-US" baseline="0">
                      <a:solidFill>
                        <a:schemeClr val="bg1"/>
                      </a:solidFill>
                    </a:endParaRPr>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24BA-415D-8523-BDC04C757511}"/>
                </c:ext>
              </c:extLst>
            </c:dLbl>
            <c:dLbl>
              <c:idx val="1"/>
              <c:layout>
                <c:manualLayout>
                  <c:x val="2.5994640685474361E-2"/>
                  <c:y val="-0.20708899008316201"/>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fld id="{C7044120-60A8-4B0D-AC04-79CF80A42A68}" type="CATEGORYNAME">
                      <a:rPr lang="en-US">
                        <a:solidFill>
                          <a:schemeClr val="bg1"/>
                        </a:solidFill>
                      </a:rPr>
                      <a:pPr>
                        <a:defRPr>
                          <a:solidFill>
                            <a:schemeClr val="bg1"/>
                          </a:solidFill>
                        </a:defRPr>
                      </a:pPr>
                      <a:t>[CATEGORY NAME]</a:t>
                    </a:fld>
                    <a:r>
                      <a:rPr lang="en-US" baseline="0">
                        <a:solidFill>
                          <a:schemeClr val="bg1"/>
                        </a:solidFill>
                      </a:rPr>
                      <a:t>
</a:t>
                    </a:r>
                    <a:fld id="{998B1D95-EAD7-4C5F-ADEC-DF72E2CDB0D7}" type="PERCENTAGE">
                      <a:rPr lang="en-US" sz="1200" b="1" baseline="0">
                        <a:solidFill>
                          <a:schemeClr val="bg1"/>
                        </a:solidFill>
                      </a:rPr>
                      <a:pPr>
                        <a:defRPr>
                          <a:solidFill>
                            <a:schemeClr val="bg1"/>
                          </a:solidFill>
                        </a:defRPr>
                      </a:pPr>
                      <a:t>[PERCENTAGE]</a:t>
                    </a:fld>
                    <a:endParaRPr lang="en-US" baseline="0">
                      <a:solidFill>
                        <a:schemeClr val="bg1"/>
                      </a:solidFill>
                    </a:endParaRPr>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24BA-415D-8523-BDC04C757511}"/>
                </c:ext>
              </c:extLst>
            </c:dLbl>
            <c:dLbl>
              <c:idx val="2"/>
              <c:layout>
                <c:manualLayout>
                  <c:x val="0.13040474616085349"/>
                  <c:y val="0.14754411985870591"/>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fld id="{D12425AA-E08A-4A74-B8AC-DD4A3B294C65}" type="CATEGORYNAME">
                      <a:rPr lang="en-US">
                        <a:solidFill>
                          <a:schemeClr val="bg1"/>
                        </a:solidFill>
                      </a:rPr>
                      <a:pPr>
                        <a:defRPr>
                          <a:solidFill>
                            <a:schemeClr val="bg1"/>
                          </a:solidFill>
                        </a:defRPr>
                      </a:pPr>
                      <a:t>[CATEGORY NAME]</a:t>
                    </a:fld>
                    <a:r>
                      <a:rPr lang="en-US" baseline="0">
                        <a:solidFill>
                          <a:schemeClr val="bg1"/>
                        </a:solidFill>
                      </a:rPr>
                      <a:t>
</a:t>
                    </a:r>
                    <a:fld id="{47C1ECAE-E656-48FE-B2FB-C0DD123CD76A}" type="PERCENTAGE">
                      <a:rPr lang="en-US" sz="1200" b="1" baseline="0">
                        <a:solidFill>
                          <a:schemeClr val="bg1"/>
                        </a:solidFill>
                      </a:rPr>
                      <a:pPr>
                        <a:defRPr>
                          <a:solidFill>
                            <a:schemeClr val="bg1"/>
                          </a:solidFill>
                        </a:defRPr>
                      </a:pPr>
                      <a:t>[PERCENTAGE]</a:t>
                    </a:fld>
                    <a:endParaRPr lang="en-US" baseline="0">
                      <a:solidFill>
                        <a:schemeClr val="bg1"/>
                      </a:solidFill>
                    </a:endParaRPr>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24BA-415D-8523-BDC04C75751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'All Emissions - Summary'!$C$104:$C$106</c:f>
              <c:strCache>
                <c:ptCount val="3"/>
                <c:pt idx="0">
                  <c:v>Electricity</c:v>
                </c:pt>
                <c:pt idx="1">
                  <c:v>Natural Gas</c:v>
                </c:pt>
                <c:pt idx="2">
                  <c:v>Fuel Oil</c:v>
                </c:pt>
              </c:strCache>
            </c:strRef>
          </c:cat>
          <c:val>
            <c:numRef>
              <c:f>'All Emissions - Summary'!$F$104:$F$106</c:f>
              <c:numCache>
                <c:formatCode>0.0%</c:formatCode>
                <c:ptCount val="3"/>
                <c:pt idx="0">
                  <c:v>0</c:v>
                </c:pt>
                <c:pt idx="1">
                  <c:v>0</c:v>
                </c:pt>
                <c:pt idx="2">
                  <c:v>0</c:v>
                </c:pt>
              </c:numCache>
            </c:numRef>
          </c:val>
          <c:extLst>
            <c:ext xmlns:c16="http://schemas.microsoft.com/office/drawing/2014/chart" uri="{C3380CC4-5D6E-409C-BE32-E72D297353CC}">
              <c16:uniqueId val="{00000006-24BA-415D-8523-BDC04C757511}"/>
            </c:ext>
          </c:extLst>
        </c:ser>
        <c:dLbls>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Community-wide Emissions</a:t>
            </a:r>
            <a:r>
              <a:rPr lang="en-US" baseline="0"/>
              <a:t> (MT CO2e) by Sector</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9418296231491836"/>
          <c:y val="0.3094982838634433"/>
          <c:w val="0.54991803290439489"/>
          <c:h val="0.66154702831024559"/>
        </c:manualLayout>
      </c:layout>
      <c:doughnut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1-F3D7-49D9-A1C1-182C8D9328A8}"/>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3-F3D7-49D9-A1C1-182C8D9328A8}"/>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5-F3D7-49D9-A1C1-182C8D9328A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'All Emissions - Summary'!$B$12:$B$14</c:f>
              <c:strCache>
                <c:ptCount val="3"/>
                <c:pt idx="0">
                  <c:v>Stationary Energy</c:v>
                </c:pt>
                <c:pt idx="1">
                  <c:v>Transportation</c:v>
                </c:pt>
                <c:pt idx="2">
                  <c:v>Waste</c:v>
                </c:pt>
              </c:strCache>
            </c:strRef>
          </c:cat>
          <c:val>
            <c:numRef>
              <c:f>'All Emissions - Summary'!$C$12:$C$14</c:f>
              <c:numCache>
                <c:formatCode>General</c:formatCode>
                <c:ptCount val="3"/>
              </c:numCache>
            </c:numRef>
          </c:val>
          <c:extLst>
            <c:ext xmlns:c16="http://schemas.microsoft.com/office/drawing/2014/chart" uri="{C3380CC4-5D6E-409C-BE32-E72D297353CC}">
              <c16:uniqueId val="{00000006-F3D7-49D9-A1C1-182C8D9328A8}"/>
            </c:ext>
          </c:extLst>
        </c:ser>
        <c:ser>
          <c:idx val="1"/>
          <c:order val="1"/>
          <c:spPr>
            <a:effectLst/>
          </c:spPr>
          <c:dPt>
            <c:idx val="0"/>
            <c:bubble3D val="0"/>
            <c:spPr>
              <a:solidFill>
                <a:schemeClr val="accent5"/>
              </a:solidFill>
              <a:ln>
                <a:noFill/>
              </a:ln>
              <a:effectLst/>
            </c:spPr>
            <c:extLst>
              <c:ext xmlns:c16="http://schemas.microsoft.com/office/drawing/2014/chart" uri="{C3380CC4-5D6E-409C-BE32-E72D297353CC}">
                <c16:uniqueId val="{00000008-F3D7-49D9-A1C1-182C8D9328A8}"/>
              </c:ext>
            </c:extLst>
          </c:dPt>
          <c:dPt>
            <c:idx val="1"/>
            <c:bubble3D val="0"/>
            <c:spPr>
              <a:solidFill>
                <a:schemeClr val="accent2"/>
              </a:solidFill>
              <a:ln>
                <a:noFill/>
              </a:ln>
              <a:effectLst/>
            </c:spPr>
            <c:extLst>
              <c:ext xmlns:c16="http://schemas.microsoft.com/office/drawing/2014/chart" uri="{C3380CC4-5D6E-409C-BE32-E72D297353CC}">
                <c16:uniqueId val="{0000000A-F3D7-49D9-A1C1-182C8D9328A8}"/>
              </c:ext>
            </c:extLst>
          </c:dPt>
          <c:dPt>
            <c:idx val="2"/>
            <c:bubble3D val="0"/>
            <c:spPr>
              <a:solidFill>
                <a:schemeClr val="accent3"/>
              </a:solidFill>
              <a:ln>
                <a:noFill/>
              </a:ln>
              <a:effectLst/>
            </c:spPr>
            <c:extLst>
              <c:ext xmlns:c16="http://schemas.microsoft.com/office/drawing/2014/chart" uri="{C3380CC4-5D6E-409C-BE32-E72D297353CC}">
                <c16:uniqueId val="{0000000C-F3D7-49D9-A1C1-182C8D9328A8}"/>
              </c:ext>
            </c:extLst>
          </c:dPt>
          <c:dLbls>
            <c:dLbl>
              <c:idx val="0"/>
              <c:layout>
                <c:manualLayout>
                  <c:x val="0.2018691588785046"/>
                  <c:y val="2.5396821769161325E-2"/>
                </c:manualLayout>
              </c:layout>
              <c:tx>
                <c:rich>
                  <a:bodyPr/>
                  <a:lstStyle/>
                  <a:p>
                    <a:fld id="{21CAAB23-A861-4432-BCA4-6EF15D0DA03A}" type="CATEGORYNAME">
                      <a:rPr lang="en-US"/>
                      <a:pPr/>
                      <a:t>[CATEGORY NAME]</a:t>
                    </a:fld>
                    <a:endParaRPr lang="en-US" baseline="0"/>
                  </a:p>
                  <a:p>
                    <a:fld id="{B55FDACA-B002-4337-A80D-EC441E6571D8}" type="VALUE">
                      <a:rPr lang="en-US" sz="1200" b="1"/>
                      <a:pPr/>
                      <a:t>[VALUE]</a:t>
                    </a:fld>
                    <a:endParaRPr lang="en-US" b="1" baseline="0"/>
                  </a:p>
                  <a:p>
                    <a:fld id="{65DD664D-2C07-46F8-9111-E658510249D7}" type="PERCENTAGE">
                      <a:rPr lang="en-US" sz="1100" b="0"/>
                      <a:pPr/>
                      <a:t>[PERCENTAGE]</a:t>
                    </a:fld>
                    <a:endParaRPr lang="en-US"/>
                  </a:p>
                </c:rich>
              </c:tx>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8-F3D7-49D9-A1C1-182C8D9328A8}"/>
                </c:ext>
              </c:extLst>
            </c:dLbl>
            <c:dLbl>
              <c:idx val="1"/>
              <c:layout>
                <c:manualLayout>
                  <c:x val="-0.12025049178274942"/>
                  <c:y val="-0.10824411534906689"/>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2"/>
                        </a:solidFill>
                        <a:latin typeface="+mn-lt"/>
                        <a:ea typeface="+mn-ea"/>
                        <a:cs typeface="+mn-cs"/>
                      </a:defRPr>
                    </a:pPr>
                    <a:fld id="{3F4E5717-6692-4620-9856-42128379B1B8}" type="CATEGORYNAME">
                      <a:rPr lang="en-US"/>
                      <a:pPr>
                        <a:defRPr/>
                      </a:pPr>
                      <a:t>[CATEGORY NAME]</a:t>
                    </a:fld>
                    <a:endParaRPr lang="en-US" baseline="0"/>
                  </a:p>
                  <a:p>
                    <a:pPr>
                      <a:defRPr/>
                    </a:pPr>
                    <a:fld id="{27F4D892-83FA-4937-B6C6-C1B2D252ECCF}" type="VALUE">
                      <a:rPr lang="en-US" sz="1200" b="1"/>
                      <a:pPr>
                        <a:defRPr/>
                      </a:pPr>
                      <a:t>[VALUE]</a:t>
                    </a:fld>
                    <a:endParaRPr lang="en-US" b="1" baseline="0"/>
                  </a:p>
                  <a:p>
                    <a:pPr>
                      <a:defRPr/>
                    </a:pPr>
                    <a:fld id="{6B064613-CA08-4EF6-AB19-FAAAFD610AE3}" type="PERCENTAGE">
                      <a:rPr lang="en-US" sz="1100"/>
                      <a:pPr>
                        <a:defRPr/>
                      </a:pPr>
                      <a:t>[PERCENTAGE]</a:t>
                    </a:fld>
                    <a:endParaRPr lang="en-US"/>
                  </a:p>
                </c:rich>
              </c:tx>
              <c:numFmt formatCode="0.0%" sourceLinked="0"/>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2"/>
                      </a:solidFill>
                      <a:latin typeface="+mn-lt"/>
                      <a:ea typeface="+mn-ea"/>
                      <a:cs typeface="+mn-cs"/>
                    </a:defRPr>
                  </a:pPr>
                  <a:endParaRPr lang="en-US"/>
                </a:p>
              </c:txPr>
              <c:showLegendKey val="0"/>
              <c:showVal val="1"/>
              <c:showCatName val="1"/>
              <c:showSerName val="0"/>
              <c:showPercent val="1"/>
              <c:showBubbleSize val="0"/>
              <c:separator>
</c:separator>
              <c:extLst>
                <c:ext xmlns:c15="http://schemas.microsoft.com/office/drawing/2012/chart" uri="{CE6537A1-D6FC-4f65-9D91-7224C49458BB}">
                  <c15:layout>
                    <c:manualLayout>
                      <c:w val="0.1917870976382253"/>
                      <c:h val="0.1133842001731568"/>
                    </c:manualLayout>
                  </c15:layout>
                  <c15:dlblFieldTable/>
                  <c15:showDataLabelsRange val="0"/>
                </c:ext>
                <c:ext xmlns:c16="http://schemas.microsoft.com/office/drawing/2014/chart" uri="{C3380CC4-5D6E-409C-BE32-E72D297353CC}">
                  <c16:uniqueId val="{0000000A-F3D7-49D9-A1C1-182C8D9328A8}"/>
                </c:ext>
              </c:extLst>
            </c:dLbl>
            <c:dLbl>
              <c:idx val="2"/>
              <c:layout>
                <c:manualLayout>
                  <c:x val="-6.2305295950155763E-2"/>
                  <c:y val="-0.11972787405461831"/>
                </c:manualLayout>
              </c:layout>
              <c:tx>
                <c:rich>
                  <a:bodyPr/>
                  <a:lstStyle/>
                  <a:p>
                    <a:fld id="{74E21B35-E2D1-45A2-AB7A-9D9A8EE03992}" type="CATEGORYNAME">
                      <a:rPr lang="en-US"/>
                      <a:pPr/>
                      <a:t>[CATEGORY NAME]</a:t>
                    </a:fld>
                    <a:endParaRPr lang="en-US" baseline="0"/>
                  </a:p>
                  <a:p>
                    <a:fld id="{FE13F813-F95F-4226-B9B3-860279A14210}" type="VALUE">
                      <a:rPr lang="en-US" sz="1200" b="1"/>
                      <a:pPr/>
                      <a:t>[VALUE]</a:t>
                    </a:fld>
                    <a:endParaRPr lang="en-US" b="1" baseline="0"/>
                  </a:p>
                  <a:p>
                    <a:fld id="{2091A9C9-173E-4EAB-B9F8-2BAF2556934E}" type="PERCENTAGE">
                      <a:rPr lang="en-US" sz="1100"/>
                      <a:pPr/>
                      <a:t>[PERCENTAGE]</a:t>
                    </a:fld>
                    <a:endParaRPr lang="en-US"/>
                  </a:p>
                </c:rich>
              </c:tx>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C-F3D7-49D9-A1C1-182C8D9328A8}"/>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1"/>
            <c:showCatName val="1"/>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'All Emissions - Summary'!$B$12:$B$14</c:f>
              <c:strCache>
                <c:ptCount val="3"/>
                <c:pt idx="0">
                  <c:v>Stationary Energy</c:v>
                </c:pt>
                <c:pt idx="1">
                  <c:v>Transportation</c:v>
                </c:pt>
                <c:pt idx="2">
                  <c:v>Waste</c:v>
                </c:pt>
              </c:strCache>
            </c:strRef>
          </c:cat>
          <c:val>
            <c:numRef>
              <c:f>'All Emissions - Summary'!$D$12:$D$14</c:f>
              <c:numCache>
                <c:formatCode>#,##0</c:formatCode>
                <c:ptCount val="3"/>
                <c:pt idx="0">
                  <c:v>0</c:v>
                </c:pt>
                <c:pt idx="1">
                  <c:v>0</c:v>
                </c:pt>
                <c:pt idx="2">
                  <c:v>0</c:v>
                </c:pt>
              </c:numCache>
            </c:numRef>
          </c:val>
          <c:extLst>
            <c:ext xmlns:c16="http://schemas.microsoft.com/office/drawing/2014/chart" uri="{C3380CC4-5D6E-409C-BE32-E72D297353CC}">
              <c16:uniqueId val="{0000000D-F3D7-49D9-A1C1-182C8D9328A8}"/>
            </c:ext>
          </c:extLst>
        </c:ser>
        <c:dLbls>
          <c:showLegendKey val="0"/>
          <c:showVal val="1"/>
          <c:showCatName val="1"/>
          <c:showSerName val="0"/>
          <c:showPercent val="0"/>
          <c:showBubbleSize val="0"/>
          <c:showLeaderLines val="1"/>
        </c:dLbls>
        <c:firstSliceAng val="0"/>
        <c:holeSize val="17"/>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Percent of Total Community-wide</a:t>
            </a:r>
            <a:r>
              <a:rPr lang="en-US" baseline="0"/>
              <a:t> </a:t>
            </a:r>
            <a:r>
              <a:rPr lang="en-US"/>
              <a:t>Emissions by Subsector</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9052950639234617"/>
          <c:y val="0.28204993314973059"/>
          <c:w val="0.56665921598509872"/>
          <c:h val="0.62427275730731191"/>
        </c:manualLayout>
      </c:layout>
      <c:doughnutChart>
        <c:varyColors val="1"/>
        <c:ser>
          <c:idx val="0"/>
          <c:order val="0"/>
          <c:spPr>
            <a:effectLst/>
          </c:spPr>
          <c:dPt>
            <c:idx val="0"/>
            <c:bubble3D val="0"/>
            <c:spPr>
              <a:solidFill>
                <a:schemeClr val="accent5"/>
              </a:solidFill>
              <a:ln>
                <a:noFill/>
              </a:ln>
              <a:effectLst/>
            </c:spPr>
            <c:extLst>
              <c:ext xmlns:c16="http://schemas.microsoft.com/office/drawing/2014/chart" uri="{C3380CC4-5D6E-409C-BE32-E72D297353CC}">
                <c16:uniqueId val="{00000001-9F8E-4DD1-BDFE-7B46B2831766}"/>
              </c:ext>
            </c:extLst>
          </c:dPt>
          <c:dPt>
            <c:idx val="1"/>
            <c:bubble3D val="0"/>
            <c:spPr>
              <a:solidFill>
                <a:schemeClr val="accent4"/>
              </a:solidFill>
              <a:ln>
                <a:noFill/>
              </a:ln>
              <a:effectLst/>
            </c:spPr>
            <c:extLst>
              <c:ext xmlns:c16="http://schemas.microsoft.com/office/drawing/2014/chart" uri="{C3380CC4-5D6E-409C-BE32-E72D297353CC}">
                <c16:uniqueId val="{00000003-9F8E-4DD1-BDFE-7B46B2831766}"/>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c:spPr>
            <c:extLst>
              <c:ext xmlns:c16="http://schemas.microsoft.com/office/drawing/2014/chart" uri="{C3380CC4-5D6E-409C-BE32-E72D297353CC}">
                <c16:uniqueId val="{00000005-9F8E-4DD1-BDFE-7B46B2831766}"/>
              </c:ext>
            </c:extLst>
          </c:dPt>
          <c:dPt>
            <c:idx val="3"/>
            <c:bubble3D val="0"/>
            <c:spPr>
              <a:solidFill>
                <a:schemeClr val="accent2"/>
              </a:solidFill>
              <a:ln>
                <a:noFill/>
              </a:ln>
              <a:effectLst/>
            </c:spPr>
            <c:extLst>
              <c:ext xmlns:c16="http://schemas.microsoft.com/office/drawing/2014/chart" uri="{C3380CC4-5D6E-409C-BE32-E72D297353CC}">
                <c16:uniqueId val="{00000007-9F8E-4DD1-BDFE-7B46B2831766}"/>
              </c:ext>
            </c:extLst>
          </c:dPt>
          <c:dPt>
            <c:idx val="4"/>
            <c:bubble3D val="0"/>
            <c:spPr>
              <a:solidFill>
                <a:schemeClr val="accent6"/>
              </a:solidFill>
              <a:ln>
                <a:noFill/>
              </a:ln>
              <a:effectLst/>
            </c:spPr>
            <c:extLst>
              <c:ext xmlns:c16="http://schemas.microsoft.com/office/drawing/2014/chart" uri="{C3380CC4-5D6E-409C-BE32-E72D297353CC}">
                <c16:uniqueId val="{00000009-9F8E-4DD1-BDFE-7B46B2831766}"/>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c:spPr>
            <c:extLst>
              <c:ext xmlns:c16="http://schemas.microsoft.com/office/drawing/2014/chart" uri="{C3380CC4-5D6E-409C-BE32-E72D297353CC}">
                <c16:uniqueId val="{0000000B-9F8E-4DD1-BDFE-7B46B2831766}"/>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c:spPr>
            <c:extLst>
              <c:ext xmlns:c16="http://schemas.microsoft.com/office/drawing/2014/chart" uri="{C3380CC4-5D6E-409C-BE32-E72D297353CC}">
                <c16:uniqueId val="{0000000D-9F8E-4DD1-BDFE-7B46B2831766}"/>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c:spPr>
            <c:extLst>
              <c:ext xmlns:c16="http://schemas.microsoft.com/office/drawing/2014/chart" uri="{C3380CC4-5D6E-409C-BE32-E72D297353CC}">
                <c16:uniqueId val="{0000000F-9F8E-4DD1-BDFE-7B46B2831766}"/>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c:spPr>
            <c:extLst>
              <c:ext xmlns:c16="http://schemas.microsoft.com/office/drawing/2014/chart" uri="{C3380CC4-5D6E-409C-BE32-E72D297353CC}">
                <c16:uniqueId val="{00000011-9F8E-4DD1-BDFE-7B46B2831766}"/>
              </c:ext>
            </c:extLst>
          </c:dPt>
          <c:dLbls>
            <c:dLbl>
              <c:idx val="0"/>
              <c:layout>
                <c:manualLayout>
                  <c:x val="8.0165048824231852E-2"/>
                  <c:y val="-7.9856120649394111E-3"/>
                </c:manualLayout>
              </c:layout>
              <c:tx>
                <c:rich>
                  <a:bodyPr/>
                  <a:lstStyle/>
                  <a:p>
                    <a:fld id="{0F857E4B-2158-4B9F-9018-EA4A70B31847}" type="CATEGORYNAME">
                      <a:rPr lang="en-US"/>
                      <a:pPr/>
                      <a:t>[CATEGORY NAME]</a:t>
                    </a:fld>
                    <a:endParaRPr lang="en-US" baseline="0"/>
                  </a:p>
                  <a:p>
                    <a:fld id="{6961D8DB-FE3F-4D35-83C5-2C3DFE9DA6B3}" type="VALUE">
                      <a:rPr lang="en-US" sz="1200" b="1"/>
                      <a:pPr/>
                      <a:t>[VALUE]</a:t>
                    </a:fld>
                    <a:endParaRPr lang="en-US"/>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9F8E-4DD1-BDFE-7B46B2831766}"/>
                </c:ext>
              </c:extLst>
            </c:dLbl>
            <c:dLbl>
              <c:idx val="1"/>
              <c:layout>
                <c:manualLayout>
                  <c:x val="0.28291227510008105"/>
                  <c:y val="5.1893548668138979E-2"/>
                </c:manualLayout>
              </c:layout>
              <c:tx>
                <c:rich>
                  <a:bodyPr/>
                  <a:lstStyle/>
                  <a:p>
                    <a:fld id="{AB3D2466-BBC5-4C45-8B03-6176D19BBA8D}" type="CATEGORYNAME">
                      <a:rPr lang="en-US"/>
                      <a:pPr/>
                      <a:t>[CATEGORY NAME]</a:t>
                    </a:fld>
                    <a:endParaRPr lang="en-US" baseline="0"/>
                  </a:p>
                  <a:p>
                    <a:fld id="{2486F34E-AA21-4A52-A680-7F997C24460A}" type="VALUE">
                      <a:rPr lang="en-US" sz="1200" b="1"/>
                      <a:pPr/>
                      <a:t>[VALUE]</a:t>
                    </a:fld>
                    <a:endParaRPr lang="en-US"/>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9F8E-4DD1-BDFE-7B46B2831766}"/>
                </c:ext>
              </c:extLst>
            </c:dLbl>
            <c:dLbl>
              <c:idx val="2"/>
              <c:layout>
                <c:manualLayout>
                  <c:x val="-0.17059482520075114"/>
                  <c:y val="5.0648934487996101E-2"/>
                </c:manualLayout>
              </c:layout>
              <c:tx>
                <c:rich>
                  <a:bodyPr/>
                  <a:lstStyle/>
                  <a:p>
                    <a:fld id="{B2ADE2B7-A396-4FE8-8194-57A3FC62D224}" type="CATEGORYNAME">
                      <a:rPr lang="en-US"/>
                      <a:pPr/>
                      <a:t>[CATEGORY NAME]</a:t>
                    </a:fld>
                    <a:endParaRPr lang="en-US" baseline="0"/>
                  </a:p>
                  <a:p>
                    <a:fld id="{24A0C974-E1E2-433F-BA48-73819D523E1B}" type="VALUE">
                      <a:rPr lang="en-US" sz="1200" b="1"/>
                      <a:pPr/>
                      <a:t>[VALUE]</a:t>
                    </a:fld>
                    <a:endParaRPr lang="en-US"/>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9F8E-4DD1-BDFE-7B46B2831766}"/>
                </c:ext>
              </c:extLst>
            </c:dLbl>
            <c:dLbl>
              <c:idx val="3"/>
              <c:layout>
                <c:manualLayout>
                  <c:x val="-0.1741862952049775"/>
                  <c:y val="-8.8635635353993228E-2"/>
                </c:manualLayout>
              </c:layout>
              <c:tx>
                <c:rich>
                  <a:bodyPr/>
                  <a:lstStyle/>
                  <a:p>
                    <a:fld id="{3D0EE9DB-A817-45BD-9C56-4A3B84E0E850}" type="CATEGORYNAME">
                      <a:rPr lang="en-US"/>
                      <a:pPr/>
                      <a:t>[CATEGORY NAME]</a:t>
                    </a:fld>
                    <a:endParaRPr lang="en-US" baseline="0"/>
                  </a:p>
                  <a:p>
                    <a:fld id="{5EC7841F-53E2-40D2-BB02-705D05D3BEFC}" type="VALUE">
                      <a:rPr lang="en-US" sz="1200" b="1"/>
                      <a:pPr/>
                      <a:t>[VALUE]</a:t>
                    </a:fld>
                    <a:endParaRPr lang="en-US"/>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9F8E-4DD1-BDFE-7B46B2831766}"/>
                </c:ext>
              </c:extLst>
            </c:dLbl>
            <c:dLbl>
              <c:idx val="4"/>
              <c:layout>
                <c:manualLayout>
                  <c:x val="-0.15585740692788741"/>
                  <c:y val="-9.9985207754029318E-2"/>
                </c:manualLayout>
              </c:layout>
              <c:tx>
                <c:rich>
                  <a:bodyPr/>
                  <a:lstStyle/>
                  <a:p>
                    <a:fld id="{08A2DA2A-A824-4152-80F7-8135F1F4C9B6}" type="CATEGORYNAME">
                      <a:rPr lang="en-US"/>
                      <a:pPr/>
                      <a:t>[CATEGORY NAME]</a:t>
                    </a:fld>
                    <a:endParaRPr lang="en-US" baseline="0"/>
                  </a:p>
                  <a:p>
                    <a:fld id="{9E7715D8-EEC0-48C9-9A76-BAE8784213B1}" type="VALUE">
                      <a:rPr lang="en-US" sz="1200" b="1"/>
                      <a:pPr/>
                      <a:t>[VALUE]</a:t>
                    </a:fld>
                    <a:endParaRPr lang="en-US"/>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9F8E-4DD1-BDFE-7B46B2831766}"/>
                </c:ext>
              </c:extLst>
            </c:dLbl>
            <c:dLbl>
              <c:idx val="5"/>
              <c:layout>
                <c:manualLayout>
                  <c:x val="-0.16087519192620831"/>
                  <c:y val="-0.16672386020714489"/>
                </c:manualLayout>
              </c:layout>
              <c:tx>
                <c:rich>
                  <a:bodyPr/>
                  <a:lstStyle/>
                  <a:p>
                    <a:fld id="{31DC97C3-E67A-4D84-A32E-EF83159BAC98}" type="CATEGORYNAME">
                      <a:rPr lang="en-US"/>
                      <a:pPr/>
                      <a:t>[CATEGORY NAME]</a:t>
                    </a:fld>
                    <a:endParaRPr lang="en-US" baseline="0"/>
                  </a:p>
                  <a:p>
                    <a:fld id="{D81FD5EB-28AC-41C2-9189-C8466E4DD22F}" type="VALUE">
                      <a:rPr lang="en-US" sz="1200" b="1"/>
                      <a:pPr/>
                      <a:t>[VALUE]</a:t>
                    </a:fld>
                    <a:endParaRPr lang="en-US"/>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B-9F8E-4DD1-BDFE-7B46B2831766}"/>
                </c:ext>
              </c:extLst>
            </c:dLbl>
            <c:dLbl>
              <c:idx val="6"/>
              <c:layout>
                <c:manualLayout>
                  <c:x val="0.15592512480572546"/>
                  <c:y val="-0.15956761618941068"/>
                </c:manualLayout>
              </c:layout>
              <c:tx>
                <c:rich>
                  <a:bodyPr/>
                  <a:lstStyle/>
                  <a:p>
                    <a:fld id="{1CFACE37-90DC-400C-836E-D394079472E8}" type="CATEGORYNAME">
                      <a:rPr lang="en-US"/>
                      <a:pPr/>
                      <a:t>[CATEGORY NAME]</a:t>
                    </a:fld>
                    <a:endParaRPr lang="en-US" baseline="0"/>
                  </a:p>
                  <a:p>
                    <a:fld id="{26FCBC2C-2E7A-44A0-B5A5-612FE2F90A4F}" type="VALUE">
                      <a:rPr lang="en-US" sz="1200" b="1"/>
                      <a:pPr/>
                      <a:t>[VALUE]</a:t>
                    </a:fld>
                    <a:endParaRPr lang="en-US"/>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D-9F8E-4DD1-BDFE-7B46B2831766}"/>
                </c:ext>
              </c:extLst>
            </c:dLbl>
            <c:dLbl>
              <c:idx val="7"/>
              <c:layout>
                <c:manualLayout>
                  <c:x val="0.3214890879187654"/>
                  <c:y val="-0.11980884814848759"/>
                </c:manualLayout>
              </c:layout>
              <c:tx>
                <c:rich>
                  <a:bodyPr/>
                  <a:lstStyle/>
                  <a:p>
                    <a:fld id="{C204891D-CAD8-4C60-A164-BD28F73FEBEC}" type="CATEGORYNAME">
                      <a:rPr lang="en-US"/>
                      <a:pPr/>
                      <a:t>[CATEGORY NAME]</a:t>
                    </a:fld>
                    <a:endParaRPr lang="en-US" baseline="0"/>
                  </a:p>
                  <a:p>
                    <a:fld id="{3CD2D3F1-5126-4F9F-A01B-B1269A10E554}" type="VALUE">
                      <a:rPr lang="en-US" sz="1200" b="1"/>
                      <a:pPr/>
                      <a:t>[VALUE]</a:t>
                    </a:fld>
                    <a:endParaRPr lang="en-US"/>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F-9F8E-4DD1-BDFE-7B46B2831766}"/>
                </c:ext>
              </c:extLst>
            </c:dLbl>
            <c:dLbl>
              <c:idx val="8"/>
              <c:layout>
                <c:manualLayout>
                  <c:x val="0.32782561794033849"/>
                  <c:y val="-1.0666245837579134E-2"/>
                </c:manualLayout>
              </c:layout>
              <c:tx>
                <c:rich>
                  <a:bodyPr/>
                  <a:lstStyle/>
                  <a:p>
                    <a:fld id="{4795DFB5-95E4-4918-B259-C638B01E7648}" type="CATEGORYNAME">
                      <a:rPr lang="en-US"/>
                      <a:pPr/>
                      <a:t>[CATEGORY NAME]</a:t>
                    </a:fld>
                    <a:endParaRPr lang="en-US" baseline="0"/>
                  </a:p>
                  <a:p>
                    <a:fld id="{60836B80-1E5A-481F-80CB-AA0E28F84391}" type="VALUE">
                      <a:rPr lang="en-US" sz="1200" b="1"/>
                      <a:pPr/>
                      <a:t>[VALUE]</a:t>
                    </a:fld>
                    <a:endParaRPr lang="en-US"/>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1-9F8E-4DD1-BDFE-7B46B283176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1"/>
            <c:showCatName val="1"/>
            <c:showSerName val="0"/>
            <c:showPercent val="0"/>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'All Emissions - Summary'!$B$115:$B$123</c:f>
              <c:strCache>
                <c:ptCount val="9"/>
                <c:pt idx="0">
                  <c:v>Residential Buildings</c:v>
                </c:pt>
                <c:pt idx="1">
                  <c:v>C&amp;I Buildings &amp; Manufacturing Industries</c:v>
                </c:pt>
                <c:pt idx="2">
                  <c:v>Construction</c:v>
                </c:pt>
                <c:pt idx="3">
                  <c:v>On-road</c:v>
                </c:pt>
                <c:pt idx="4">
                  <c:v>Railways</c:v>
                </c:pt>
                <c:pt idx="5">
                  <c:v>Solid Waste Disposal</c:v>
                </c:pt>
                <c:pt idx="6">
                  <c:v>Biological Treatment of Waste</c:v>
                </c:pt>
                <c:pt idx="7">
                  <c:v>Incineration and Open Burning</c:v>
                </c:pt>
                <c:pt idx="8">
                  <c:v>Wastewater Treatment and Discharge</c:v>
                </c:pt>
              </c:strCache>
            </c:strRef>
          </c:cat>
          <c:val>
            <c:numRef>
              <c:f>'All Emissions - Summary'!$C$115:$C$123</c:f>
              <c:numCache>
                <c:formatCode>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2-9F8E-4DD1-BDFE-7B46B2831766}"/>
            </c:ext>
          </c:extLst>
        </c:ser>
        <c:dLbls>
          <c:showLegendKey val="0"/>
          <c:showVal val="1"/>
          <c:showCatName val="0"/>
          <c:showSerName val="0"/>
          <c:showPercent val="0"/>
          <c:showBubbleSize val="0"/>
          <c:showLeaderLines val="1"/>
        </c:dLbls>
        <c:firstSliceAng val="0"/>
        <c:holeSize val="75"/>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2"/>
                </a:solidFill>
                <a:latin typeface="+mn-lt"/>
                <a:ea typeface="+mn-ea"/>
                <a:cs typeface="+mn-cs"/>
              </a:defRPr>
            </a:pPr>
            <a:r>
              <a:rPr lang="en-US" sz="1800" b="1">
                <a:solidFill>
                  <a:schemeClr val="tx2"/>
                </a:solidFill>
              </a:rPr>
              <a:t>Percent of Total Community-Wide Emissions</a:t>
            </a:r>
            <a:r>
              <a:rPr lang="en-US" sz="1800" b="1" baseline="0">
                <a:solidFill>
                  <a:schemeClr val="tx2"/>
                </a:solidFill>
              </a:rPr>
              <a:t> by Subsector </a:t>
            </a:r>
          </a:p>
          <a:p>
            <a:pPr>
              <a:defRPr sz="1800" b="1">
                <a:solidFill>
                  <a:schemeClr val="tx2"/>
                </a:solidFill>
              </a:defRPr>
            </a:pPr>
            <a:r>
              <a:rPr lang="en-US" sz="1800" b="1" baseline="0">
                <a:solidFill>
                  <a:schemeClr val="tx2"/>
                </a:solidFill>
              </a:rPr>
              <a:t>(with Municipal Emissions Disaggregated)</a:t>
            </a:r>
            <a:endParaRPr lang="en-US" sz="1800" b="1">
              <a:solidFill>
                <a:schemeClr val="tx2"/>
              </a:solidFill>
            </a:endParaRP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2"/>
              </a:solidFill>
              <a:latin typeface="+mn-lt"/>
              <a:ea typeface="+mn-ea"/>
              <a:cs typeface="+mn-cs"/>
            </a:defRPr>
          </a:pPr>
          <a:endParaRPr lang="en-US"/>
        </a:p>
      </c:txPr>
    </c:title>
    <c:autoTitleDeleted val="0"/>
    <c:plotArea>
      <c:layout/>
      <c:doughnutChart>
        <c:varyColors val="1"/>
        <c:ser>
          <c:idx val="0"/>
          <c:order val="0"/>
          <c:spPr>
            <a:ln>
              <a:noFill/>
            </a:ln>
          </c:spPr>
          <c:dPt>
            <c:idx val="0"/>
            <c:bubble3D val="0"/>
            <c:spPr>
              <a:solidFill>
                <a:schemeClr val="accent5"/>
              </a:solidFill>
              <a:ln w="19050">
                <a:noFill/>
              </a:ln>
              <a:effectLst/>
            </c:spPr>
            <c:extLst>
              <c:ext xmlns:c16="http://schemas.microsoft.com/office/drawing/2014/chart" uri="{C3380CC4-5D6E-409C-BE32-E72D297353CC}">
                <c16:uniqueId val="{00000001-88EA-4852-A190-EE01E707B2CD}"/>
              </c:ext>
            </c:extLst>
          </c:dPt>
          <c:dPt>
            <c:idx val="1"/>
            <c:bubble3D val="0"/>
            <c:spPr>
              <a:solidFill>
                <a:schemeClr val="accent4"/>
              </a:solidFill>
              <a:ln w="19050">
                <a:noFill/>
              </a:ln>
              <a:effectLst/>
            </c:spPr>
            <c:extLst>
              <c:ext xmlns:c16="http://schemas.microsoft.com/office/drawing/2014/chart" uri="{C3380CC4-5D6E-409C-BE32-E72D297353CC}">
                <c16:uniqueId val="{00000003-88EA-4852-A190-EE01E707B2CD}"/>
              </c:ext>
            </c:extLst>
          </c:dPt>
          <c:dPt>
            <c:idx val="2"/>
            <c:bubble3D val="0"/>
            <c:spPr>
              <a:solidFill>
                <a:schemeClr val="accent3"/>
              </a:solidFill>
              <a:ln w="19050">
                <a:noFill/>
              </a:ln>
              <a:effectLst/>
            </c:spPr>
            <c:extLst>
              <c:ext xmlns:c16="http://schemas.microsoft.com/office/drawing/2014/chart" uri="{C3380CC4-5D6E-409C-BE32-E72D297353CC}">
                <c16:uniqueId val="{00000005-88EA-4852-A190-EE01E707B2CD}"/>
              </c:ext>
            </c:extLst>
          </c:dPt>
          <c:dPt>
            <c:idx val="3"/>
            <c:bubble3D val="0"/>
            <c:spPr>
              <a:solidFill>
                <a:schemeClr val="accent4"/>
              </a:solidFill>
              <a:ln w="19050">
                <a:noFill/>
              </a:ln>
              <a:effectLst/>
            </c:spPr>
            <c:extLst>
              <c:ext xmlns:c16="http://schemas.microsoft.com/office/drawing/2014/chart" uri="{C3380CC4-5D6E-409C-BE32-E72D297353CC}">
                <c16:uniqueId val="{00000007-88EA-4852-A190-EE01E707B2CD}"/>
              </c:ext>
            </c:extLst>
          </c:dPt>
          <c:dPt>
            <c:idx val="4"/>
            <c:bubble3D val="0"/>
            <c:spPr>
              <a:solidFill>
                <a:schemeClr val="accent2">
                  <a:lumMod val="60000"/>
                  <a:lumOff val="40000"/>
                </a:schemeClr>
              </a:solidFill>
              <a:ln w="19050">
                <a:noFill/>
              </a:ln>
              <a:effectLst/>
            </c:spPr>
            <c:extLst>
              <c:ext xmlns:c16="http://schemas.microsoft.com/office/drawing/2014/chart" uri="{C3380CC4-5D6E-409C-BE32-E72D297353CC}">
                <c16:uniqueId val="{00000009-88EA-4852-A190-EE01E707B2CD}"/>
              </c:ext>
            </c:extLst>
          </c:dPt>
          <c:dPt>
            <c:idx val="5"/>
            <c:bubble3D val="0"/>
            <c:spPr>
              <a:solidFill>
                <a:schemeClr val="accent2"/>
              </a:solidFill>
              <a:ln w="19050">
                <a:noFill/>
              </a:ln>
              <a:effectLst/>
            </c:spPr>
            <c:extLst>
              <c:ext xmlns:c16="http://schemas.microsoft.com/office/drawing/2014/chart" uri="{C3380CC4-5D6E-409C-BE32-E72D297353CC}">
                <c16:uniqueId val="{0000000B-88EA-4852-A190-EE01E707B2CD}"/>
              </c:ext>
            </c:extLst>
          </c:dPt>
          <c:dPt>
            <c:idx val="6"/>
            <c:bubble3D val="0"/>
            <c:spPr>
              <a:solidFill>
                <a:schemeClr val="accent2">
                  <a:lumMod val="50000"/>
                </a:schemeClr>
              </a:solidFill>
              <a:ln w="19050">
                <a:noFill/>
              </a:ln>
              <a:effectLst/>
            </c:spPr>
            <c:extLst>
              <c:ext xmlns:c16="http://schemas.microsoft.com/office/drawing/2014/chart" uri="{C3380CC4-5D6E-409C-BE32-E72D297353CC}">
                <c16:uniqueId val="{0000000D-88EA-4852-A190-EE01E707B2CD}"/>
              </c:ext>
            </c:extLst>
          </c:dPt>
          <c:dPt>
            <c:idx val="7"/>
            <c:bubble3D val="0"/>
            <c:spPr>
              <a:solidFill>
                <a:schemeClr val="accent6"/>
              </a:solidFill>
              <a:ln w="19050">
                <a:noFill/>
              </a:ln>
              <a:effectLst/>
            </c:spPr>
            <c:extLst>
              <c:ext xmlns:c16="http://schemas.microsoft.com/office/drawing/2014/chart" uri="{C3380CC4-5D6E-409C-BE32-E72D297353CC}">
                <c16:uniqueId val="{0000000F-88EA-4852-A190-EE01E707B2CD}"/>
              </c:ext>
            </c:extLst>
          </c:dPt>
          <c:dPt>
            <c:idx val="8"/>
            <c:bubble3D val="0"/>
            <c:spPr>
              <a:solidFill>
                <a:schemeClr val="tx1">
                  <a:lumMod val="60000"/>
                  <a:lumOff val="40000"/>
                </a:schemeClr>
              </a:solidFill>
              <a:ln w="19050">
                <a:noFill/>
              </a:ln>
              <a:effectLst/>
            </c:spPr>
            <c:extLst>
              <c:ext xmlns:c16="http://schemas.microsoft.com/office/drawing/2014/chart" uri="{C3380CC4-5D6E-409C-BE32-E72D297353CC}">
                <c16:uniqueId val="{00000011-88EA-4852-A190-EE01E707B2CD}"/>
              </c:ext>
            </c:extLst>
          </c:dPt>
          <c:dPt>
            <c:idx val="9"/>
            <c:bubble3D val="0"/>
            <c:spPr>
              <a:solidFill>
                <a:schemeClr val="tx1"/>
              </a:solidFill>
              <a:ln w="19050">
                <a:noFill/>
              </a:ln>
              <a:effectLst/>
            </c:spPr>
            <c:extLst>
              <c:ext xmlns:c16="http://schemas.microsoft.com/office/drawing/2014/chart" uri="{C3380CC4-5D6E-409C-BE32-E72D297353CC}">
                <c16:uniqueId val="{00000013-88EA-4852-A190-EE01E707B2CD}"/>
              </c:ext>
            </c:extLst>
          </c:dPt>
          <c:dLbls>
            <c:dLbl>
              <c:idx val="0"/>
              <c:layout>
                <c:manualLayout>
                  <c:x val="0.16376320099031605"/>
                  <c:y val="-4.4205052436938189E-2"/>
                </c:manualLayout>
              </c:layout>
              <c:tx>
                <c:rich>
                  <a:bodyPr/>
                  <a:lstStyle/>
                  <a:p>
                    <a:fld id="{79ED0C74-FB6F-4B9F-9578-11C9B68A3564}" type="CATEGORYNAME">
                      <a:rPr lang="en-US"/>
                      <a:pPr/>
                      <a:t>[CATEGORY NAME]</a:t>
                    </a:fld>
                    <a:r>
                      <a:rPr lang="en-US" baseline="0"/>
                      <a:t>
</a:t>
                    </a:r>
                    <a:fld id="{D3E70D42-B8B8-4569-AAE4-FA9D0888AA9A}" type="VALUE">
                      <a:rPr lang="en-US" sz="1200" b="1" baseline="0"/>
                      <a:pPr/>
                      <a:t>[VALUE]</a:t>
                    </a:fld>
                    <a:endParaRPr lang="en-US" baseline="0"/>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88EA-4852-A190-EE01E707B2CD}"/>
                </c:ext>
              </c:extLst>
            </c:dLbl>
            <c:dLbl>
              <c:idx val="1"/>
              <c:layout>
                <c:manualLayout>
                  <c:x val="0.22498308921099483"/>
                  <c:y val="7.5354603166046114E-2"/>
                </c:manualLayout>
              </c:layout>
              <c:tx>
                <c:rich>
                  <a:bodyPr/>
                  <a:lstStyle/>
                  <a:p>
                    <a:fld id="{0A2E9CD3-0EB8-48BB-8601-66F676189391}" type="CATEGORYNAME">
                      <a:rPr lang="en-US"/>
                      <a:pPr/>
                      <a:t>[CATEGORY NAME]</a:t>
                    </a:fld>
                    <a:r>
                      <a:rPr lang="en-US" baseline="0"/>
                      <a:t>
</a:t>
                    </a:r>
                    <a:fld id="{228EBD2D-66B7-48B8-B0F5-67D7F45EAD13}" type="VALUE">
                      <a:rPr lang="en-US" sz="1200" b="1" baseline="0"/>
                      <a:pPr/>
                      <a:t>[VALUE]</a:t>
                    </a:fld>
                    <a:endParaRPr lang="en-US" baseline="0"/>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88EA-4852-A190-EE01E707B2CD}"/>
                </c:ext>
              </c:extLst>
            </c:dLbl>
            <c:dLbl>
              <c:idx val="2"/>
              <c:layout>
                <c:manualLayout>
                  <c:x val="-4.5914916165509231E-2"/>
                  <c:y val="0.12917931971322175"/>
                </c:manualLayout>
              </c:layout>
              <c:tx>
                <c:rich>
                  <a:bodyPr/>
                  <a:lstStyle/>
                  <a:p>
                    <a:fld id="{3535B692-0C2C-44A2-9DB2-B81683D52AF5}" type="CATEGORYNAME">
                      <a:rPr lang="en-US"/>
                      <a:pPr/>
                      <a:t>[CATEGORY NAME]</a:t>
                    </a:fld>
                    <a:r>
                      <a:rPr lang="en-US" baseline="0"/>
                      <a:t>
</a:t>
                    </a:r>
                    <a:fld id="{73DA87F4-DFE8-4254-A946-6BB58246B441}" type="VALUE">
                      <a:rPr lang="en-US" sz="1200" b="1" baseline="0"/>
                      <a:pPr/>
                      <a:t>[VALUE]</a:t>
                    </a:fld>
                    <a:endParaRPr lang="en-US" baseline="0"/>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88EA-4852-A190-EE01E707B2CD}"/>
                </c:ext>
              </c:extLst>
            </c:dLbl>
            <c:dLbl>
              <c:idx val="3"/>
              <c:layout>
                <c:manualLayout>
                  <c:x val="-0.1499887261406633"/>
                  <c:y val="4.9518739223401574E-2"/>
                </c:manualLayout>
              </c:layout>
              <c:tx>
                <c:rich>
                  <a:bodyPr/>
                  <a:lstStyle/>
                  <a:p>
                    <a:fld id="{64146BDD-CA44-415D-AB64-296E2C794D9B}" type="CATEGORYNAME">
                      <a:rPr lang="en-US"/>
                      <a:pPr/>
                      <a:t>[CATEGORY NAME]</a:t>
                    </a:fld>
                    <a:r>
                      <a:rPr lang="en-US" baseline="0"/>
                      <a:t>
</a:t>
                    </a:r>
                    <a:fld id="{483E0110-A40C-430D-BC6D-0B9393B32456}" type="VALUE">
                      <a:rPr lang="en-US" sz="1200" b="1" baseline="0"/>
                      <a:pPr/>
                      <a:t>[VALUE]</a:t>
                    </a:fld>
                    <a:endParaRPr lang="en-US" baseline="0"/>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88EA-4852-A190-EE01E707B2CD}"/>
                </c:ext>
              </c:extLst>
            </c:dLbl>
            <c:dLbl>
              <c:idx val="4"/>
              <c:layout>
                <c:manualLayout>
                  <c:x val="-0.13774474849652754"/>
                  <c:y val="-1.5070920633209223E-2"/>
                </c:manualLayout>
              </c:layout>
              <c:tx>
                <c:rich>
                  <a:bodyPr/>
                  <a:lstStyle/>
                  <a:p>
                    <a:fld id="{F9D070F5-92A9-4DC1-BE95-E4319B7989EB}" type="CATEGORYNAME">
                      <a:rPr lang="en-US"/>
                      <a:pPr/>
                      <a:t>[CATEGORY NAME]</a:t>
                    </a:fld>
                    <a:r>
                      <a:rPr lang="en-US" baseline="0"/>
                      <a:t>
</a:t>
                    </a:r>
                    <a:fld id="{356F10DB-DA0B-4070-8FFF-67BB2578B887}" type="VALUE">
                      <a:rPr lang="en-US" sz="1200" b="1" baseline="0"/>
                      <a:pPr/>
                      <a:t>[VALUE]</a:t>
                    </a:fld>
                    <a:endParaRPr lang="en-US" baseline="0"/>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88EA-4852-A190-EE01E707B2CD}"/>
                </c:ext>
              </c:extLst>
            </c:dLbl>
            <c:dLbl>
              <c:idx val="5"/>
              <c:layout>
                <c:manualLayout>
                  <c:x val="-0.24334905567719861"/>
                  <c:y val="-4.8765211166785973E-3"/>
                </c:manualLayout>
              </c:layout>
              <c:tx>
                <c:rich>
                  <a:bodyPr/>
                  <a:lstStyle/>
                  <a:p>
                    <a:fld id="{34A64EF4-F4D4-49F4-B053-9BE833AABDA6}" type="CATEGORYNAME">
                      <a:rPr lang="en-US"/>
                      <a:pPr/>
                      <a:t>[CATEGORY NAME]</a:t>
                    </a:fld>
                    <a:r>
                      <a:rPr lang="en-US" baseline="0"/>
                      <a:t>
</a:t>
                    </a:r>
                    <a:fld id="{DEACE8F6-B23C-409E-99E9-A68A93478427}" type="VALUE">
                      <a:rPr lang="en-US" sz="1200" b="1" baseline="0"/>
                      <a:pPr/>
                      <a:t>[VALUE]</a:t>
                    </a:fld>
                    <a:endParaRPr lang="en-US" baseline="0"/>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B-88EA-4852-A190-EE01E707B2CD}"/>
                </c:ext>
              </c:extLst>
            </c:dLbl>
            <c:dLbl>
              <c:idx val="6"/>
              <c:layout>
                <c:manualLayout>
                  <c:x val="1.2243977644135836E-2"/>
                  <c:y val="0.1641994750656168"/>
                </c:manualLayout>
              </c:layout>
              <c:tx>
                <c:rich>
                  <a:bodyPr/>
                  <a:lstStyle/>
                  <a:p>
                    <a:fld id="{1BA89B57-5D2B-4E13-9DB5-88F213742FFA}" type="CATEGORYNAME">
                      <a:rPr lang="en-US"/>
                      <a:pPr/>
                      <a:t>[CATEGORY NAME]</a:t>
                    </a:fld>
                    <a:r>
                      <a:rPr lang="en-US" baseline="0"/>
                      <a:t>
</a:t>
                    </a:r>
                    <a:fld id="{94CDB804-DEE9-4D81-824A-05A1CBCB506C}" type="VALUE">
                      <a:rPr lang="en-US" sz="1200" b="1" baseline="0"/>
                      <a:pPr/>
                      <a:t>[VALUE]</a:t>
                    </a:fld>
                    <a:endParaRPr lang="en-US" baseline="0"/>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D-88EA-4852-A190-EE01E707B2CD}"/>
                </c:ext>
              </c:extLst>
            </c:dLbl>
            <c:dLbl>
              <c:idx val="7"/>
              <c:layout>
                <c:manualLayout>
                  <c:x val="-0.278550491404089"/>
                  <c:y val="-7.8774606299212596E-2"/>
                </c:manualLayout>
              </c:layout>
              <c:tx>
                <c:rich>
                  <a:bodyPr/>
                  <a:lstStyle/>
                  <a:p>
                    <a:fld id="{A4EA9BF3-301B-4B05-BFAD-4D880530E1B2}" type="CATEGORYNAME">
                      <a:rPr lang="en-US"/>
                      <a:pPr/>
                      <a:t>[CATEGORY NAME]</a:t>
                    </a:fld>
                    <a:r>
                      <a:rPr lang="en-US" baseline="0"/>
                      <a:t>
</a:t>
                    </a:r>
                    <a:fld id="{C235719B-CF89-4B09-95A8-6D278B1AD730}" type="VALUE">
                      <a:rPr lang="en-US" sz="1200" b="1" baseline="0"/>
                      <a:pPr/>
                      <a:t>[VALUE]</a:t>
                    </a:fld>
                    <a:endParaRPr lang="en-US" baseline="0"/>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F-88EA-4852-A190-EE01E707B2CD}"/>
                </c:ext>
              </c:extLst>
            </c:dLbl>
            <c:dLbl>
              <c:idx val="8"/>
              <c:layout>
                <c:manualLayout>
                  <c:x val="0.12397027364687477"/>
                  <c:y val="0.15671602839417798"/>
                </c:manualLayout>
              </c:layout>
              <c:tx>
                <c:rich>
                  <a:bodyPr/>
                  <a:lstStyle/>
                  <a:p>
                    <a:fld id="{4A1849D9-44FC-48F2-8314-D7F8610E7F87}" type="CATEGORYNAME">
                      <a:rPr lang="en-US"/>
                      <a:pPr/>
                      <a:t>[CATEGORY NAME]</a:t>
                    </a:fld>
                    <a:r>
                      <a:rPr lang="en-US" baseline="0"/>
                      <a:t>
</a:t>
                    </a:r>
                    <a:fld id="{9BE02023-7CCC-408C-ACF0-7ED31D6CD69C}" type="VALUE">
                      <a:rPr lang="en-US" sz="1200" b="1" baseline="0"/>
                      <a:pPr/>
                      <a:t>[VALUE]</a:t>
                    </a:fld>
                    <a:endParaRPr lang="en-US" baseline="0"/>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1-88EA-4852-A190-EE01E707B2CD}"/>
                </c:ext>
              </c:extLst>
            </c:dLbl>
            <c:dLbl>
              <c:idx val="9"/>
              <c:layout>
                <c:manualLayout>
                  <c:x val="0.21733060318340996"/>
                  <c:y val="-5.1856806251491291E-2"/>
                </c:manualLayout>
              </c:layout>
              <c:tx>
                <c:rich>
                  <a:bodyPr/>
                  <a:lstStyle/>
                  <a:p>
                    <a:fld id="{B661D2A0-AD90-4A3E-B593-470CC91C65AE}" type="CATEGORYNAME">
                      <a:rPr lang="en-US"/>
                      <a:pPr/>
                      <a:t>[CATEGORY NAME]</a:t>
                    </a:fld>
                    <a:r>
                      <a:rPr lang="en-US" baseline="0"/>
                      <a:t>
</a:t>
                    </a:r>
                    <a:fld id="{0863D405-EDE3-41AA-B418-5CD08DE72F66}" type="VALUE">
                      <a:rPr lang="en-US" sz="1200" b="1" baseline="0"/>
                      <a:pPr/>
                      <a:t>[VALUE]</a:t>
                    </a:fld>
                    <a:endParaRPr lang="en-US" baseline="0"/>
                  </a:p>
                </c:rich>
              </c:tx>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3-88EA-4852-A190-EE01E707B2CD}"/>
                </c:ext>
              </c:extLst>
            </c:dLbl>
            <c:dLbl>
              <c:idx val="10"/>
              <c:layout>
                <c:manualLayout>
                  <c:x val="7.4994363070331541E-2"/>
                  <c:y val="-0.15577018477778221"/>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88EA-4852-A190-EE01E707B2CD}"/>
                </c:ext>
              </c:extLst>
            </c:dLbl>
            <c:dLbl>
              <c:idx val="11"/>
              <c:layout>
                <c:manualLayout>
                  <c:x val="0.22957458082754587"/>
                  <c:y val="-0.11156513234084399"/>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5-88EA-4852-A190-EE01E707B2CD}"/>
                </c:ext>
              </c:extLst>
            </c:dLbl>
            <c:dLbl>
              <c:idx val="12"/>
              <c:layout>
                <c:manualLayout>
                  <c:x val="0.36731932932407341"/>
                  <c:y val="-7.3675087394896976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88EA-4852-A190-EE01E707B2C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1"/>
            <c:showCatName val="1"/>
            <c:showSerName val="0"/>
            <c:showPercent val="0"/>
            <c:showBubbleSize val="0"/>
            <c:separator>
</c:separator>
            <c:showLeaderLines val="1"/>
            <c:leaderLines>
              <c:spPr>
                <a:ln w="9525" cap="flat" cmpd="sng" algn="ctr">
                  <a:solidFill>
                    <a:schemeClr val="tx2">
                      <a:lumMod val="25000"/>
                      <a:lumOff val="75000"/>
                    </a:schemeClr>
                  </a:solidFill>
                  <a:round/>
                </a:ln>
                <a:effectLst/>
              </c:spPr>
            </c:leaderLines>
            <c:extLst>
              <c:ext xmlns:c15="http://schemas.microsoft.com/office/drawing/2012/chart" uri="{CE6537A1-D6FC-4f65-9D91-7224C49458BB}"/>
            </c:extLst>
          </c:dLbls>
          <c:cat>
            <c:strRef>
              <c:f>'All Emissions - Summary'!$B$144:$B$153</c:f>
              <c:strCache>
                <c:ptCount val="10"/>
                <c:pt idx="0">
                  <c:v>Residential Buildings</c:v>
                </c:pt>
                <c:pt idx="1">
                  <c:v>C&amp;I Buildings &amp; Manufacturing Industries</c:v>
                </c:pt>
                <c:pt idx="2">
                  <c:v>Municipal Buildings</c:v>
                </c:pt>
                <c:pt idx="3">
                  <c:v>Construction</c:v>
                </c:pt>
                <c:pt idx="4">
                  <c:v>Passenger Vehicles</c:v>
                </c:pt>
                <c:pt idx="5">
                  <c:v>Commercial Vehicles</c:v>
                </c:pt>
                <c:pt idx="6">
                  <c:v>Municipal Vehicles</c:v>
                </c:pt>
                <c:pt idx="7">
                  <c:v>Public Transportation (Buses, Trolleys, &amp; Railways)</c:v>
                </c:pt>
                <c:pt idx="8">
                  <c:v>Waste (Landfill, Biological Treatment, &amp; Incineration &amp; Open Burning)</c:v>
                </c:pt>
                <c:pt idx="9">
                  <c:v>Wastewater Treatment and Discharge</c:v>
                </c:pt>
              </c:strCache>
            </c:strRef>
          </c:cat>
          <c:val>
            <c:numRef>
              <c:f>'All Emissions - Summary'!$C$144:$C$153</c:f>
              <c:numCache>
                <c:formatCode>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7-88EA-4852-A190-EE01E707B2CD}"/>
            </c:ext>
          </c:extLst>
        </c:ser>
        <c:dLbls>
          <c:showLegendKey val="0"/>
          <c:showVal val="1"/>
          <c:showCatName val="0"/>
          <c:showSerName val="0"/>
          <c:showPercent val="0"/>
          <c:showBubbleSize val="0"/>
          <c:showLeaderLines val="1"/>
        </c:dLbls>
        <c:firstSliceAng val="0"/>
        <c:holeSize val="75"/>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0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5.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4" Type="http://schemas.openxmlformats.org/officeDocument/2006/relationships/image" Target="../media/image5.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4.png"/><Relationship Id="rId7" Type="http://schemas.openxmlformats.org/officeDocument/2006/relationships/image" Target="../media/image5.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pn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9.emf"/><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114300</xdr:colOff>
      <xdr:row>5</xdr:row>
      <xdr:rowOff>161922</xdr:rowOff>
    </xdr:from>
    <xdr:to>
      <xdr:col>12</xdr:col>
      <xdr:colOff>545410</xdr:colOff>
      <xdr:row>26</xdr:row>
      <xdr:rowOff>149087</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4300" y="1122705"/>
          <a:ext cx="7065480" cy="34658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600" b="1"/>
            <a:t>Community Greenhouse</a:t>
          </a:r>
          <a:r>
            <a:rPr lang="en-US" sz="1600" b="1" baseline="0"/>
            <a:t> Gas Inventory</a:t>
          </a:r>
          <a:endParaRPr lang="en-US" sz="1600" b="1"/>
        </a:p>
        <a:p>
          <a:endParaRPr lang="en-US" sz="1400"/>
        </a:p>
        <a:p>
          <a:pPr rtl="0" fontAlgn="base"/>
          <a:r>
            <a:rPr lang="en-US" sz="1100" b="0" i="0" baseline="0">
              <a:solidFill>
                <a:schemeClr val="dk1"/>
              </a:solidFill>
              <a:latin typeface="+mn-lt"/>
              <a:ea typeface="+mn-ea"/>
              <a:cs typeface="+mn-cs"/>
            </a:rPr>
            <a:t>This workbook serves to document the calculations associated with the community-wide greenhouse gas inventory completed for the City/Town of _______ for the year of ______. The  inventory is designed according to the Global Protocol for Community-Scale Greenhouse Gas Emission Inventories (GPC) and includes raw data, assumptions, and calculations for the City/Town in each of the following GPC emission sectors: </a:t>
          </a:r>
        </a:p>
        <a:p>
          <a:pPr rtl="0" fontAlgn="base"/>
          <a:endParaRPr lang="en-US" sz="1100" b="0" i="0" baseline="0">
            <a:solidFill>
              <a:schemeClr val="dk1"/>
            </a:solidFill>
            <a:latin typeface="+mn-lt"/>
            <a:ea typeface="+mn-ea"/>
            <a:cs typeface="+mn-cs"/>
          </a:endParaRPr>
        </a:p>
        <a:p>
          <a:pPr rtl="0" fontAlgn="base"/>
          <a:r>
            <a:rPr lang="en-US" sz="1100" b="0" i="0" baseline="0">
              <a:solidFill>
                <a:schemeClr val="dk1"/>
              </a:solidFill>
              <a:latin typeface="+mn-lt"/>
              <a:ea typeface="+mn-ea"/>
              <a:cs typeface="+mn-cs"/>
            </a:rPr>
            <a:t>1. Stationary Energy</a:t>
          </a:r>
        </a:p>
        <a:p>
          <a:pPr rtl="0" fontAlgn="base"/>
          <a:r>
            <a:rPr lang="en-US" sz="1100" b="0" i="0" baseline="0">
              <a:solidFill>
                <a:schemeClr val="dk1"/>
              </a:solidFill>
              <a:latin typeface="+mn-lt"/>
              <a:ea typeface="+mn-ea"/>
              <a:cs typeface="+mn-cs"/>
            </a:rPr>
            <a:t>2. Transportation</a:t>
          </a:r>
        </a:p>
        <a:p>
          <a:pPr rtl="0" fontAlgn="base"/>
          <a:r>
            <a:rPr lang="en-US" sz="1100" b="0" i="0" baseline="0">
              <a:solidFill>
                <a:schemeClr val="dk1"/>
              </a:solidFill>
              <a:latin typeface="+mn-lt"/>
              <a:ea typeface="+mn-ea"/>
              <a:cs typeface="+mn-cs"/>
            </a:rPr>
            <a:t>3. Waste</a:t>
          </a:r>
        </a:p>
        <a:p>
          <a:pPr rtl="0" fontAlgn="base"/>
          <a:endParaRPr lang="en-US" sz="1100" b="0" i="0" baseline="0">
            <a:solidFill>
              <a:schemeClr val="dk1"/>
            </a:solidFill>
            <a:latin typeface="+mn-lt"/>
            <a:ea typeface="+mn-ea"/>
            <a:cs typeface="+mn-cs"/>
          </a:endParaRPr>
        </a:p>
        <a:p>
          <a:r>
            <a:rPr lang="en-US" sz="1100"/>
            <a:t>In the</a:t>
          </a:r>
          <a:r>
            <a:rPr lang="en-US" sz="1100" baseline="0"/>
            <a:t> All Emissions Summary and Multi-year Emissions trend there are tables where communities may enter data from Mass Energy Insight to compare emissions from municipal operations energy use and fleet vehicles with the overall community-wide emissions. The tables are shown in </a:t>
          </a:r>
          <a:r>
            <a:rPr lang="en-US" sz="1100" baseline="0">
              <a:solidFill>
                <a:srgbClr val="00B050"/>
              </a:solidFill>
            </a:rPr>
            <a:t>GREEN</a:t>
          </a:r>
          <a:r>
            <a:rPr lang="en-US" sz="1100" baseline="0"/>
            <a:t>.  </a:t>
          </a:r>
          <a:r>
            <a:rPr lang="en-US" sz="1100" u="sng" baseline="0"/>
            <a:t>Please note, these emissions are included in the community-wide emissions and are not to in addition to the community-wide emissions. </a:t>
          </a:r>
          <a:endParaRPr lang="en-US" sz="1100" u="sng"/>
        </a:p>
        <a:p>
          <a:endParaRPr lang="en-US" sz="1100"/>
        </a:p>
        <a:p>
          <a:r>
            <a:rPr lang="en-US" sz="1100" i="1"/>
            <a:t>Version 4</a:t>
          </a:r>
          <a:r>
            <a:rPr lang="en-US" sz="1100" i="1" baseline="0"/>
            <a:t>: April 10, 2020</a:t>
          </a:r>
        </a:p>
        <a:p>
          <a:r>
            <a:rPr lang="en-US" sz="1100" baseline="0"/>
            <a:t>Created by DNV GL, with support from MAPC</a:t>
          </a:r>
          <a:br>
            <a:rPr lang="en-US" sz="1100" baseline="0"/>
          </a:br>
          <a:r>
            <a:rPr lang="en-US" sz="1100" baseline="0"/>
            <a:t>Maintained by MAPC</a:t>
          </a:r>
        </a:p>
      </xdr:txBody>
    </xdr:sp>
    <xdr:clientData/>
  </xdr:twoCellAnchor>
  <xdr:twoCellAnchor editAs="oneCell">
    <xdr:from>
      <xdr:col>0</xdr:col>
      <xdr:colOff>0</xdr:colOff>
      <xdr:row>0</xdr:row>
      <xdr:rowOff>1</xdr:rowOff>
    </xdr:from>
    <xdr:to>
      <xdr:col>13</xdr:col>
      <xdr:colOff>28575</xdr:colOff>
      <xdr:row>2</xdr:row>
      <xdr:rowOff>85725</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7277100" cy="409574"/>
        </a:xfrm>
        <a:prstGeom prst="rect">
          <a:avLst/>
        </a:prstGeom>
        <a:noFill/>
        <a:ln>
          <a:noFill/>
        </a:ln>
      </xdr:spPr>
    </xdr:pic>
    <xdr:clientData/>
  </xdr:twoCellAnchor>
  <xdr:twoCellAnchor editAs="oneCell">
    <xdr:from>
      <xdr:col>11</xdr:col>
      <xdr:colOff>454819</xdr:colOff>
      <xdr:row>3</xdr:row>
      <xdr:rowOff>16668</xdr:rowOff>
    </xdr:from>
    <xdr:to>
      <xdr:col>13</xdr:col>
      <xdr:colOff>21431</xdr:colOff>
      <xdr:row>3</xdr:row>
      <xdr:rowOff>166584</xdr:rowOff>
    </xdr:to>
    <xdr:pic>
      <xdr:nvPicPr>
        <xdr:cNvPr id="5" name="Picture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74632" y="516731"/>
          <a:ext cx="757237" cy="150951"/>
        </a:xfrm>
        <a:prstGeom prst="rect">
          <a:avLst/>
        </a:prstGeom>
        <a:noFill/>
      </xdr:spPr>
    </xdr:pic>
    <xdr:clientData/>
  </xdr:twoCellAnchor>
  <xdr:twoCellAnchor>
    <xdr:from>
      <xdr:col>0</xdr:col>
      <xdr:colOff>123825</xdr:colOff>
      <xdr:row>27</xdr:row>
      <xdr:rowOff>57147</xdr:rowOff>
    </xdr:from>
    <xdr:to>
      <xdr:col>12</xdr:col>
      <xdr:colOff>554935</xdr:colOff>
      <xdr:row>37</xdr:row>
      <xdr:rowOff>95250</xdr:rowOff>
    </xdr:to>
    <xdr:sp macro="" textlink="">
      <xdr:nvSpPr>
        <xdr:cNvPr id="6" name="TextBox 5">
          <a:extLst>
            <a:ext uri="{FF2B5EF4-FFF2-40B4-BE49-F238E27FC236}">
              <a16:creationId xmlns:a16="http://schemas.microsoft.com/office/drawing/2014/main" id="{929718F8-F712-4FE5-B944-4F78FEE2C929}"/>
            </a:ext>
          </a:extLst>
        </xdr:cNvPr>
        <xdr:cNvSpPr txBox="1"/>
      </xdr:nvSpPr>
      <xdr:spPr>
        <a:xfrm>
          <a:off x="123825" y="4562472"/>
          <a:ext cx="7089085" cy="16573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600" b="1"/>
            <a:t>Updating the work</a:t>
          </a:r>
          <a:r>
            <a:rPr lang="en-US" sz="1600" b="1" baseline="0"/>
            <a:t> for other inventory years</a:t>
          </a:r>
        </a:p>
        <a:p>
          <a:endParaRPr lang="en-US" sz="1400"/>
        </a:p>
        <a:p>
          <a:pPr rtl="0" fontAlgn="base"/>
          <a:r>
            <a:rPr lang="en-US" sz="1100" b="0" i="0" baseline="0">
              <a:solidFill>
                <a:schemeClr val="dk1"/>
              </a:solidFill>
              <a:latin typeface="+mn-lt"/>
              <a:ea typeface="+mn-ea"/>
              <a:cs typeface="+mn-cs"/>
            </a:rPr>
            <a:t>If this workbook is to be used for creating emissions inventories for any year other than 2017, there are several tables where the data is subject to annual or other periodic updates. The supporting data in these tables will need to be updated to reflect the conditions or data from the year of interest. </a:t>
          </a:r>
        </a:p>
        <a:p>
          <a:pPr rtl="0" fontAlgn="base"/>
          <a:endParaRPr lang="en-US" sz="1100" b="0" i="0" baseline="0">
            <a:solidFill>
              <a:schemeClr val="dk1"/>
            </a:solidFill>
            <a:latin typeface="+mn-lt"/>
            <a:ea typeface="+mn-ea"/>
            <a:cs typeface="+mn-cs"/>
          </a:endParaRPr>
        </a:p>
        <a:p>
          <a:pPr rtl="0" fontAlgn="base"/>
          <a:r>
            <a:rPr lang="en-US" sz="1100" b="0" i="0" baseline="0">
              <a:solidFill>
                <a:schemeClr val="dk1"/>
              </a:solidFill>
              <a:latin typeface="+mn-lt"/>
              <a:ea typeface="+mn-ea"/>
              <a:cs typeface="+mn-cs"/>
            </a:rPr>
            <a:t>Below is a list of tables to review and update prior to creating an inventory for another year. Instructions on where to collect this data for alternate years are provided in the "Adjust Inventory Year" section of this workbook.</a:t>
          </a:r>
        </a:p>
        <a:p>
          <a:pPr rtl="0" fontAlgn="base"/>
          <a:endParaRPr lang="en-US" sz="1100" b="0" i="0" baseline="0">
            <a:solidFill>
              <a:schemeClr val="dk1"/>
            </a:solidFill>
            <a:latin typeface="+mn-lt"/>
            <a:ea typeface="+mn-ea"/>
            <a:cs typeface="+mn-cs"/>
          </a:endParaRPr>
        </a:p>
      </xdr:txBody>
    </xdr:sp>
    <xdr:clientData/>
  </xdr:twoCellAnchor>
  <xdr:twoCellAnchor editAs="oneCell">
    <xdr:from>
      <xdr:col>11</xdr:col>
      <xdr:colOff>331305</xdr:colOff>
      <xdr:row>3</xdr:row>
      <xdr:rowOff>306457</xdr:rowOff>
    </xdr:from>
    <xdr:to>
      <xdr:col>13</xdr:col>
      <xdr:colOff>49696</xdr:colOff>
      <xdr:row>5</xdr:row>
      <xdr:rowOff>45845</xdr:rowOff>
    </xdr:to>
    <xdr:pic>
      <xdr:nvPicPr>
        <xdr:cNvPr id="7" name="Picture 6">
          <a:extLst>
            <a:ext uri="{FF2B5EF4-FFF2-40B4-BE49-F238E27FC236}">
              <a16:creationId xmlns:a16="http://schemas.microsoft.com/office/drawing/2014/main" id="{C9009030-B615-4285-8889-D604876D6BF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377609" y="803414"/>
          <a:ext cx="894522" cy="50138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45</xdr:row>
      <xdr:rowOff>0</xdr:rowOff>
    </xdr:from>
    <xdr:to>
      <xdr:col>1</xdr:col>
      <xdr:colOff>304800</xdr:colOff>
      <xdr:row>45</xdr:row>
      <xdr:rowOff>175458</xdr:rowOff>
    </xdr:to>
    <xdr:sp macro="" textlink="">
      <xdr:nvSpPr>
        <xdr:cNvPr id="2" name="AutoShape 4" descr="+">
          <a:extLst>
            <a:ext uri="{FF2B5EF4-FFF2-40B4-BE49-F238E27FC236}">
              <a16:creationId xmlns:a16="http://schemas.microsoft.com/office/drawing/2014/main" id="{00000000-0008-0000-0A00-000002000000}"/>
            </a:ext>
          </a:extLst>
        </xdr:cNvPr>
        <xdr:cNvSpPr>
          <a:spLocks noChangeAspect="1" noChangeArrowheads="1"/>
        </xdr:cNvSpPr>
      </xdr:nvSpPr>
      <xdr:spPr bwMode="auto">
        <a:xfrm>
          <a:off x="0" y="20821650"/>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175457</xdr:rowOff>
    </xdr:to>
    <xdr:sp macro="" textlink="">
      <xdr:nvSpPr>
        <xdr:cNvPr id="3" name="AutoShape 5" descr="+">
          <a:extLst>
            <a:ext uri="{FF2B5EF4-FFF2-40B4-BE49-F238E27FC236}">
              <a16:creationId xmlns:a16="http://schemas.microsoft.com/office/drawing/2014/main" id="{00000000-0008-0000-0A00-000003000000}"/>
            </a:ext>
          </a:extLst>
        </xdr:cNvPr>
        <xdr:cNvSpPr>
          <a:spLocks noChangeAspect="1" noChangeArrowheads="1"/>
        </xdr:cNvSpPr>
      </xdr:nvSpPr>
      <xdr:spPr bwMode="auto">
        <a:xfrm>
          <a:off x="0" y="20821650"/>
          <a:ext cx="304800" cy="17172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205434</xdr:rowOff>
    </xdr:to>
    <xdr:sp macro="" textlink="">
      <xdr:nvSpPr>
        <xdr:cNvPr id="4" name="AutoShape 6" descr="+">
          <a:extLst>
            <a:ext uri="{FF2B5EF4-FFF2-40B4-BE49-F238E27FC236}">
              <a16:creationId xmlns:a16="http://schemas.microsoft.com/office/drawing/2014/main" id="{00000000-0008-0000-0A00-000004000000}"/>
            </a:ext>
          </a:extLst>
        </xdr:cNvPr>
        <xdr:cNvSpPr>
          <a:spLocks noChangeAspect="1" noChangeArrowheads="1"/>
        </xdr:cNvSpPr>
      </xdr:nvSpPr>
      <xdr:spPr bwMode="auto">
        <a:xfrm>
          <a:off x="0" y="20821650"/>
          <a:ext cx="304800" cy="20170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178392</xdr:rowOff>
    </xdr:to>
    <xdr:sp macro="" textlink="">
      <xdr:nvSpPr>
        <xdr:cNvPr id="5" name="AutoShape 7" descr="+">
          <a:extLst>
            <a:ext uri="{FF2B5EF4-FFF2-40B4-BE49-F238E27FC236}">
              <a16:creationId xmlns:a16="http://schemas.microsoft.com/office/drawing/2014/main" id="{00000000-0008-0000-0A00-000005000000}"/>
            </a:ext>
          </a:extLst>
        </xdr:cNvPr>
        <xdr:cNvSpPr>
          <a:spLocks noChangeAspect="1" noChangeArrowheads="1"/>
        </xdr:cNvSpPr>
      </xdr:nvSpPr>
      <xdr:spPr bwMode="auto">
        <a:xfrm>
          <a:off x="0" y="20821650"/>
          <a:ext cx="304800" cy="17466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205435</xdr:rowOff>
    </xdr:to>
    <xdr:sp macro="" textlink="">
      <xdr:nvSpPr>
        <xdr:cNvPr id="6" name="AutoShape 8" descr="+">
          <a:extLst>
            <a:ext uri="{FF2B5EF4-FFF2-40B4-BE49-F238E27FC236}">
              <a16:creationId xmlns:a16="http://schemas.microsoft.com/office/drawing/2014/main" id="{00000000-0008-0000-0A00-000006000000}"/>
            </a:ext>
          </a:extLst>
        </xdr:cNvPr>
        <xdr:cNvSpPr>
          <a:spLocks noChangeAspect="1" noChangeArrowheads="1"/>
        </xdr:cNvSpPr>
      </xdr:nvSpPr>
      <xdr:spPr bwMode="auto">
        <a:xfrm>
          <a:off x="0" y="20821650"/>
          <a:ext cx="304800" cy="2017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205432</xdr:rowOff>
    </xdr:to>
    <xdr:sp macro="" textlink="">
      <xdr:nvSpPr>
        <xdr:cNvPr id="7" name="AutoShape 9" descr="+">
          <a:extLst>
            <a:ext uri="{FF2B5EF4-FFF2-40B4-BE49-F238E27FC236}">
              <a16:creationId xmlns:a16="http://schemas.microsoft.com/office/drawing/2014/main" id="{00000000-0008-0000-0A00-000007000000}"/>
            </a:ext>
          </a:extLst>
        </xdr:cNvPr>
        <xdr:cNvSpPr>
          <a:spLocks noChangeAspect="1" noChangeArrowheads="1"/>
        </xdr:cNvSpPr>
      </xdr:nvSpPr>
      <xdr:spPr bwMode="auto">
        <a:xfrm>
          <a:off x="0" y="20821650"/>
          <a:ext cx="304800" cy="20170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205435</xdr:rowOff>
    </xdr:to>
    <xdr:sp macro="" textlink="">
      <xdr:nvSpPr>
        <xdr:cNvPr id="8" name="AutoShape 10" descr="+">
          <a:extLst>
            <a:ext uri="{FF2B5EF4-FFF2-40B4-BE49-F238E27FC236}">
              <a16:creationId xmlns:a16="http://schemas.microsoft.com/office/drawing/2014/main" id="{00000000-0008-0000-0A00-000008000000}"/>
            </a:ext>
          </a:extLst>
        </xdr:cNvPr>
        <xdr:cNvSpPr>
          <a:spLocks noChangeAspect="1" noChangeArrowheads="1"/>
        </xdr:cNvSpPr>
      </xdr:nvSpPr>
      <xdr:spPr bwMode="auto">
        <a:xfrm>
          <a:off x="0" y="20821650"/>
          <a:ext cx="304800" cy="2017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195907</xdr:rowOff>
    </xdr:to>
    <xdr:sp macro="" textlink="">
      <xdr:nvSpPr>
        <xdr:cNvPr id="9" name="AutoShape 11" descr="+">
          <a:extLst>
            <a:ext uri="{FF2B5EF4-FFF2-40B4-BE49-F238E27FC236}">
              <a16:creationId xmlns:a16="http://schemas.microsoft.com/office/drawing/2014/main" id="{00000000-0008-0000-0A00-000009000000}"/>
            </a:ext>
          </a:extLst>
        </xdr:cNvPr>
        <xdr:cNvSpPr>
          <a:spLocks noChangeAspect="1" noChangeArrowheads="1"/>
        </xdr:cNvSpPr>
      </xdr:nvSpPr>
      <xdr:spPr bwMode="auto">
        <a:xfrm>
          <a:off x="0" y="20821650"/>
          <a:ext cx="304800" cy="19217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274275</xdr:rowOff>
    </xdr:to>
    <xdr:sp macro="" textlink="">
      <xdr:nvSpPr>
        <xdr:cNvPr id="10" name="AutoShape 12" descr="+">
          <a:extLst>
            <a:ext uri="{FF2B5EF4-FFF2-40B4-BE49-F238E27FC236}">
              <a16:creationId xmlns:a16="http://schemas.microsoft.com/office/drawing/2014/main" id="{00000000-0008-0000-0A00-00000A000000}"/>
            </a:ext>
          </a:extLst>
        </xdr:cNvPr>
        <xdr:cNvSpPr>
          <a:spLocks noChangeAspect="1" noChangeArrowheads="1"/>
        </xdr:cNvSpPr>
      </xdr:nvSpPr>
      <xdr:spPr bwMode="auto">
        <a:xfrm>
          <a:off x="0" y="20821650"/>
          <a:ext cx="304800" cy="27054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176858</xdr:rowOff>
    </xdr:to>
    <xdr:sp macro="" textlink="">
      <xdr:nvSpPr>
        <xdr:cNvPr id="11" name="AutoShape 13" descr="+">
          <a:extLst>
            <a:ext uri="{FF2B5EF4-FFF2-40B4-BE49-F238E27FC236}">
              <a16:creationId xmlns:a16="http://schemas.microsoft.com/office/drawing/2014/main" id="{00000000-0008-0000-0A00-00000B000000}"/>
            </a:ext>
          </a:extLst>
        </xdr:cNvPr>
        <xdr:cNvSpPr>
          <a:spLocks noChangeAspect="1" noChangeArrowheads="1"/>
        </xdr:cNvSpPr>
      </xdr:nvSpPr>
      <xdr:spPr bwMode="auto">
        <a:xfrm>
          <a:off x="0" y="20821650"/>
          <a:ext cx="304800" cy="1731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205435</xdr:rowOff>
    </xdr:to>
    <xdr:sp macro="" textlink="">
      <xdr:nvSpPr>
        <xdr:cNvPr id="12" name="AutoShape 14" descr="+">
          <a:extLst>
            <a:ext uri="{FF2B5EF4-FFF2-40B4-BE49-F238E27FC236}">
              <a16:creationId xmlns:a16="http://schemas.microsoft.com/office/drawing/2014/main" id="{00000000-0008-0000-0A00-00000C000000}"/>
            </a:ext>
          </a:extLst>
        </xdr:cNvPr>
        <xdr:cNvSpPr>
          <a:spLocks noChangeAspect="1" noChangeArrowheads="1"/>
        </xdr:cNvSpPr>
      </xdr:nvSpPr>
      <xdr:spPr bwMode="auto">
        <a:xfrm>
          <a:off x="0" y="20821650"/>
          <a:ext cx="304800" cy="2017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205432</xdr:rowOff>
    </xdr:to>
    <xdr:sp macro="" textlink="">
      <xdr:nvSpPr>
        <xdr:cNvPr id="13" name="AutoShape 15" descr="+">
          <a:extLst>
            <a:ext uri="{FF2B5EF4-FFF2-40B4-BE49-F238E27FC236}">
              <a16:creationId xmlns:a16="http://schemas.microsoft.com/office/drawing/2014/main" id="{00000000-0008-0000-0A00-00000D000000}"/>
            </a:ext>
          </a:extLst>
        </xdr:cNvPr>
        <xdr:cNvSpPr>
          <a:spLocks noChangeAspect="1" noChangeArrowheads="1"/>
        </xdr:cNvSpPr>
      </xdr:nvSpPr>
      <xdr:spPr bwMode="auto">
        <a:xfrm>
          <a:off x="0" y="20821650"/>
          <a:ext cx="304800" cy="20170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195628</xdr:rowOff>
    </xdr:to>
    <xdr:sp macro="" textlink="">
      <xdr:nvSpPr>
        <xdr:cNvPr id="14" name="AutoShape 16" descr="+">
          <a:extLst>
            <a:ext uri="{FF2B5EF4-FFF2-40B4-BE49-F238E27FC236}">
              <a16:creationId xmlns:a16="http://schemas.microsoft.com/office/drawing/2014/main" id="{00000000-0008-0000-0A00-00000E000000}"/>
            </a:ext>
          </a:extLst>
        </xdr:cNvPr>
        <xdr:cNvSpPr>
          <a:spLocks noChangeAspect="1" noChangeArrowheads="1"/>
        </xdr:cNvSpPr>
      </xdr:nvSpPr>
      <xdr:spPr bwMode="auto">
        <a:xfrm>
          <a:off x="0" y="20821650"/>
          <a:ext cx="304800" cy="1919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181860</xdr:rowOff>
    </xdr:to>
    <xdr:sp macro="" textlink="">
      <xdr:nvSpPr>
        <xdr:cNvPr id="15" name="AutoShape 17" descr="+">
          <a:extLst>
            <a:ext uri="{FF2B5EF4-FFF2-40B4-BE49-F238E27FC236}">
              <a16:creationId xmlns:a16="http://schemas.microsoft.com/office/drawing/2014/main" id="{00000000-0008-0000-0A00-00000F000000}"/>
            </a:ext>
          </a:extLst>
        </xdr:cNvPr>
        <xdr:cNvSpPr>
          <a:spLocks noChangeAspect="1" noChangeArrowheads="1"/>
        </xdr:cNvSpPr>
      </xdr:nvSpPr>
      <xdr:spPr bwMode="auto">
        <a:xfrm>
          <a:off x="0" y="20821650"/>
          <a:ext cx="304800" cy="17813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181862</xdr:rowOff>
    </xdr:to>
    <xdr:sp macro="" textlink="">
      <xdr:nvSpPr>
        <xdr:cNvPr id="16" name="AutoShape 18" descr="+">
          <a:extLst>
            <a:ext uri="{FF2B5EF4-FFF2-40B4-BE49-F238E27FC236}">
              <a16:creationId xmlns:a16="http://schemas.microsoft.com/office/drawing/2014/main" id="{00000000-0008-0000-0A00-000010000000}"/>
            </a:ext>
          </a:extLst>
        </xdr:cNvPr>
        <xdr:cNvSpPr>
          <a:spLocks noChangeAspect="1" noChangeArrowheads="1"/>
        </xdr:cNvSpPr>
      </xdr:nvSpPr>
      <xdr:spPr bwMode="auto">
        <a:xfrm>
          <a:off x="0" y="20821650"/>
          <a:ext cx="304800" cy="17813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183262</xdr:rowOff>
    </xdr:to>
    <xdr:sp macro="" textlink="">
      <xdr:nvSpPr>
        <xdr:cNvPr id="17" name="AutoShape 19" descr="+">
          <a:extLst>
            <a:ext uri="{FF2B5EF4-FFF2-40B4-BE49-F238E27FC236}">
              <a16:creationId xmlns:a16="http://schemas.microsoft.com/office/drawing/2014/main" id="{00000000-0008-0000-0A00-000011000000}"/>
            </a:ext>
          </a:extLst>
        </xdr:cNvPr>
        <xdr:cNvSpPr>
          <a:spLocks noChangeAspect="1" noChangeArrowheads="1"/>
        </xdr:cNvSpPr>
      </xdr:nvSpPr>
      <xdr:spPr bwMode="auto">
        <a:xfrm>
          <a:off x="0" y="20821650"/>
          <a:ext cx="304800" cy="17953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181859</xdr:rowOff>
    </xdr:to>
    <xdr:sp macro="" textlink="">
      <xdr:nvSpPr>
        <xdr:cNvPr id="18" name="AutoShape 20" descr="+">
          <a:extLst>
            <a:ext uri="{FF2B5EF4-FFF2-40B4-BE49-F238E27FC236}">
              <a16:creationId xmlns:a16="http://schemas.microsoft.com/office/drawing/2014/main" id="{00000000-0008-0000-0A00-000012000000}"/>
            </a:ext>
          </a:extLst>
        </xdr:cNvPr>
        <xdr:cNvSpPr>
          <a:spLocks noChangeAspect="1" noChangeArrowheads="1"/>
        </xdr:cNvSpPr>
      </xdr:nvSpPr>
      <xdr:spPr bwMode="auto">
        <a:xfrm>
          <a:off x="0" y="20821650"/>
          <a:ext cx="304800" cy="17813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211839</xdr:rowOff>
    </xdr:to>
    <xdr:sp macro="" textlink="">
      <xdr:nvSpPr>
        <xdr:cNvPr id="19" name="AutoShape 21" descr="+">
          <a:extLst>
            <a:ext uri="{FF2B5EF4-FFF2-40B4-BE49-F238E27FC236}">
              <a16:creationId xmlns:a16="http://schemas.microsoft.com/office/drawing/2014/main" id="{00000000-0008-0000-0A00-000013000000}"/>
            </a:ext>
          </a:extLst>
        </xdr:cNvPr>
        <xdr:cNvSpPr>
          <a:spLocks noChangeAspect="1" noChangeArrowheads="1"/>
        </xdr:cNvSpPr>
      </xdr:nvSpPr>
      <xdr:spPr bwMode="auto">
        <a:xfrm>
          <a:off x="0" y="20821650"/>
          <a:ext cx="304800" cy="2081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211834</xdr:rowOff>
    </xdr:to>
    <xdr:sp macro="" textlink="">
      <xdr:nvSpPr>
        <xdr:cNvPr id="20" name="AutoShape 22" descr="+">
          <a:extLst>
            <a:ext uri="{FF2B5EF4-FFF2-40B4-BE49-F238E27FC236}">
              <a16:creationId xmlns:a16="http://schemas.microsoft.com/office/drawing/2014/main" id="{00000000-0008-0000-0A00-000014000000}"/>
            </a:ext>
          </a:extLst>
        </xdr:cNvPr>
        <xdr:cNvSpPr>
          <a:spLocks noChangeAspect="1" noChangeArrowheads="1"/>
        </xdr:cNvSpPr>
      </xdr:nvSpPr>
      <xdr:spPr bwMode="auto">
        <a:xfrm>
          <a:off x="0" y="20821650"/>
          <a:ext cx="304800" cy="20810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211838</xdr:rowOff>
    </xdr:to>
    <xdr:sp macro="" textlink="">
      <xdr:nvSpPr>
        <xdr:cNvPr id="21" name="AutoShape 23" descr="+">
          <a:extLst>
            <a:ext uri="{FF2B5EF4-FFF2-40B4-BE49-F238E27FC236}">
              <a16:creationId xmlns:a16="http://schemas.microsoft.com/office/drawing/2014/main" id="{00000000-0008-0000-0A00-000015000000}"/>
            </a:ext>
          </a:extLst>
        </xdr:cNvPr>
        <xdr:cNvSpPr>
          <a:spLocks noChangeAspect="1" noChangeArrowheads="1"/>
        </xdr:cNvSpPr>
      </xdr:nvSpPr>
      <xdr:spPr bwMode="auto">
        <a:xfrm>
          <a:off x="0" y="20821650"/>
          <a:ext cx="304800" cy="2081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202311</xdr:rowOff>
    </xdr:to>
    <xdr:sp macro="" textlink="">
      <xdr:nvSpPr>
        <xdr:cNvPr id="22" name="AutoShape 24" descr="+">
          <a:extLst>
            <a:ext uri="{FF2B5EF4-FFF2-40B4-BE49-F238E27FC236}">
              <a16:creationId xmlns:a16="http://schemas.microsoft.com/office/drawing/2014/main" id="{00000000-0008-0000-0A00-000016000000}"/>
            </a:ext>
          </a:extLst>
        </xdr:cNvPr>
        <xdr:cNvSpPr>
          <a:spLocks noChangeAspect="1" noChangeArrowheads="1"/>
        </xdr:cNvSpPr>
      </xdr:nvSpPr>
      <xdr:spPr bwMode="auto">
        <a:xfrm>
          <a:off x="0" y="20821650"/>
          <a:ext cx="304800" cy="1985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211837</xdr:rowOff>
    </xdr:to>
    <xdr:sp macro="" textlink="">
      <xdr:nvSpPr>
        <xdr:cNvPr id="23" name="AutoShape 25" descr="+">
          <a:extLst>
            <a:ext uri="{FF2B5EF4-FFF2-40B4-BE49-F238E27FC236}">
              <a16:creationId xmlns:a16="http://schemas.microsoft.com/office/drawing/2014/main" id="{00000000-0008-0000-0A00-000017000000}"/>
            </a:ext>
          </a:extLst>
        </xdr:cNvPr>
        <xdr:cNvSpPr>
          <a:spLocks noChangeAspect="1" noChangeArrowheads="1"/>
        </xdr:cNvSpPr>
      </xdr:nvSpPr>
      <xdr:spPr bwMode="auto">
        <a:xfrm>
          <a:off x="0" y="20821650"/>
          <a:ext cx="304800" cy="2081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211837</xdr:rowOff>
    </xdr:to>
    <xdr:sp macro="" textlink="">
      <xdr:nvSpPr>
        <xdr:cNvPr id="24" name="AutoShape 26" descr="+">
          <a:extLst>
            <a:ext uri="{FF2B5EF4-FFF2-40B4-BE49-F238E27FC236}">
              <a16:creationId xmlns:a16="http://schemas.microsoft.com/office/drawing/2014/main" id="{00000000-0008-0000-0A00-000018000000}"/>
            </a:ext>
          </a:extLst>
        </xdr:cNvPr>
        <xdr:cNvSpPr>
          <a:spLocks noChangeAspect="1" noChangeArrowheads="1"/>
        </xdr:cNvSpPr>
      </xdr:nvSpPr>
      <xdr:spPr bwMode="auto">
        <a:xfrm>
          <a:off x="0" y="20821650"/>
          <a:ext cx="304800" cy="2081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183262</xdr:rowOff>
    </xdr:to>
    <xdr:sp macro="" textlink="">
      <xdr:nvSpPr>
        <xdr:cNvPr id="25" name="AutoShape 27" descr="+">
          <a:extLst>
            <a:ext uri="{FF2B5EF4-FFF2-40B4-BE49-F238E27FC236}">
              <a16:creationId xmlns:a16="http://schemas.microsoft.com/office/drawing/2014/main" id="{00000000-0008-0000-0A00-000019000000}"/>
            </a:ext>
          </a:extLst>
        </xdr:cNvPr>
        <xdr:cNvSpPr>
          <a:spLocks noChangeAspect="1" noChangeArrowheads="1"/>
        </xdr:cNvSpPr>
      </xdr:nvSpPr>
      <xdr:spPr bwMode="auto">
        <a:xfrm>
          <a:off x="0" y="20821650"/>
          <a:ext cx="304800" cy="17953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211834</xdr:rowOff>
    </xdr:to>
    <xdr:sp macro="" textlink="">
      <xdr:nvSpPr>
        <xdr:cNvPr id="26" name="AutoShape 28" descr="+">
          <a:extLst>
            <a:ext uri="{FF2B5EF4-FFF2-40B4-BE49-F238E27FC236}">
              <a16:creationId xmlns:a16="http://schemas.microsoft.com/office/drawing/2014/main" id="{00000000-0008-0000-0A00-00001A000000}"/>
            </a:ext>
          </a:extLst>
        </xdr:cNvPr>
        <xdr:cNvSpPr>
          <a:spLocks noChangeAspect="1" noChangeArrowheads="1"/>
        </xdr:cNvSpPr>
      </xdr:nvSpPr>
      <xdr:spPr bwMode="auto">
        <a:xfrm>
          <a:off x="0" y="20821650"/>
          <a:ext cx="304800" cy="20810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205438</xdr:rowOff>
    </xdr:to>
    <xdr:sp macro="" textlink="">
      <xdr:nvSpPr>
        <xdr:cNvPr id="27" name="AutoShape 29" descr="+">
          <a:extLst>
            <a:ext uri="{FF2B5EF4-FFF2-40B4-BE49-F238E27FC236}">
              <a16:creationId xmlns:a16="http://schemas.microsoft.com/office/drawing/2014/main" id="{00000000-0008-0000-0A00-00001B000000}"/>
            </a:ext>
          </a:extLst>
        </xdr:cNvPr>
        <xdr:cNvSpPr>
          <a:spLocks noChangeAspect="1" noChangeArrowheads="1"/>
        </xdr:cNvSpPr>
      </xdr:nvSpPr>
      <xdr:spPr bwMode="auto">
        <a:xfrm>
          <a:off x="0" y="20821650"/>
          <a:ext cx="304800" cy="2017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175458</xdr:rowOff>
    </xdr:to>
    <xdr:sp macro="" textlink="">
      <xdr:nvSpPr>
        <xdr:cNvPr id="28" name="AutoShape 30" descr="+">
          <a:extLst>
            <a:ext uri="{FF2B5EF4-FFF2-40B4-BE49-F238E27FC236}">
              <a16:creationId xmlns:a16="http://schemas.microsoft.com/office/drawing/2014/main" id="{00000000-0008-0000-0A00-00001C000000}"/>
            </a:ext>
          </a:extLst>
        </xdr:cNvPr>
        <xdr:cNvSpPr>
          <a:spLocks noChangeAspect="1" noChangeArrowheads="1"/>
        </xdr:cNvSpPr>
      </xdr:nvSpPr>
      <xdr:spPr bwMode="auto">
        <a:xfrm>
          <a:off x="0" y="20821650"/>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175457</xdr:rowOff>
    </xdr:to>
    <xdr:sp macro="" textlink="">
      <xdr:nvSpPr>
        <xdr:cNvPr id="29" name="AutoShape 31" descr="+">
          <a:extLst>
            <a:ext uri="{FF2B5EF4-FFF2-40B4-BE49-F238E27FC236}">
              <a16:creationId xmlns:a16="http://schemas.microsoft.com/office/drawing/2014/main" id="{00000000-0008-0000-0A00-00001D000000}"/>
            </a:ext>
          </a:extLst>
        </xdr:cNvPr>
        <xdr:cNvSpPr>
          <a:spLocks noChangeAspect="1" noChangeArrowheads="1"/>
        </xdr:cNvSpPr>
      </xdr:nvSpPr>
      <xdr:spPr bwMode="auto">
        <a:xfrm>
          <a:off x="0" y="20821650"/>
          <a:ext cx="304800" cy="17172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214237</xdr:rowOff>
    </xdr:to>
    <xdr:sp macro="" textlink="">
      <xdr:nvSpPr>
        <xdr:cNvPr id="30" name="AutoShape 32" descr="+">
          <a:extLst>
            <a:ext uri="{FF2B5EF4-FFF2-40B4-BE49-F238E27FC236}">
              <a16:creationId xmlns:a16="http://schemas.microsoft.com/office/drawing/2014/main" id="{00000000-0008-0000-0A00-00001E000000}"/>
            </a:ext>
          </a:extLst>
        </xdr:cNvPr>
        <xdr:cNvSpPr>
          <a:spLocks noChangeAspect="1" noChangeArrowheads="1"/>
        </xdr:cNvSpPr>
      </xdr:nvSpPr>
      <xdr:spPr bwMode="auto">
        <a:xfrm>
          <a:off x="0" y="20821650"/>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206815</xdr:rowOff>
    </xdr:to>
    <xdr:sp macro="" textlink="">
      <xdr:nvSpPr>
        <xdr:cNvPr id="31" name="AutoShape 33" descr="+">
          <a:extLst>
            <a:ext uri="{FF2B5EF4-FFF2-40B4-BE49-F238E27FC236}">
              <a16:creationId xmlns:a16="http://schemas.microsoft.com/office/drawing/2014/main" id="{00000000-0008-0000-0A00-00001F000000}"/>
            </a:ext>
          </a:extLst>
        </xdr:cNvPr>
        <xdr:cNvSpPr>
          <a:spLocks noChangeAspect="1" noChangeArrowheads="1"/>
        </xdr:cNvSpPr>
      </xdr:nvSpPr>
      <xdr:spPr bwMode="auto">
        <a:xfrm>
          <a:off x="0" y="20821650"/>
          <a:ext cx="304800" cy="20308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214240</xdr:rowOff>
    </xdr:to>
    <xdr:sp macro="" textlink="">
      <xdr:nvSpPr>
        <xdr:cNvPr id="32" name="AutoShape 34" descr="+">
          <a:extLst>
            <a:ext uri="{FF2B5EF4-FFF2-40B4-BE49-F238E27FC236}">
              <a16:creationId xmlns:a16="http://schemas.microsoft.com/office/drawing/2014/main" id="{00000000-0008-0000-0A00-000020000000}"/>
            </a:ext>
          </a:extLst>
        </xdr:cNvPr>
        <xdr:cNvSpPr>
          <a:spLocks noChangeAspect="1" noChangeArrowheads="1"/>
        </xdr:cNvSpPr>
      </xdr:nvSpPr>
      <xdr:spPr bwMode="auto">
        <a:xfrm>
          <a:off x="0" y="20821650"/>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175458</xdr:rowOff>
    </xdr:to>
    <xdr:sp macro="" textlink="">
      <xdr:nvSpPr>
        <xdr:cNvPr id="33" name="AutoShape 52" descr="+">
          <a:extLst>
            <a:ext uri="{FF2B5EF4-FFF2-40B4-BE49-F238E27FC236}">
              <a16:creationId xmlns:a16="http://schemas.microsoft.com/office/drawing/2014/main" id="{00000000-0008-0000-0A00-000021000000}"/>
            </a:ext>
          </a:extLst>
        </xdr:cNvPr>
        <xdr:cNvSpPr>
          <a:spLocks noChangeAspect="1" noChangeArrowheads="1"/>
        </xdr:cNvSpPr>
      </xdr:nvSpPr>
      <xdr:spPr bwMode="auto">
        <a:xfrm>
          <a:off x="0" y="20821650"/>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175457</xdr:rowOff>
    </xdr:to>
    <xdr:sp macro="" textlink="">
      <xdr:nvSpPr>
        <xdr:cNvPr id="34" name="AutoShape 53" descr="+">
          <a:extLst>
            <a:ext uri="{FF2B5EF4-FFF2-40B4-BE49-F238E27FC236}">
              <a16:creationId xmlns:a16="http://schemas.microsoft.com/office/drawing/2014/main" id="{00000000-0008-0000-0A00-000022000000}"/>
            </a:ext>
          </a:extLst>
        </xdr:cNvPr>
        <xdr:cNvSpPr>
          <a:spLocks noChangeAspect="1" noChangeArrowheads="1"/>
        </xdr:cNvSpPr>
      </xdr:nvSpPr>
      <xdr:spPr bwMode="auto">
        <a:xfrm>
          <a:off x="0" y="20821650"/>
          <a:ext cx="304800" cy="17172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190425</xdr:rowOff>
    </xdr:to>
    <xdr:sp macro="" textlink="">
      <xdr:nvSpPr>
        <xdr:cNvPr id="35" name="AutoShape 54" descr="+">
          <a:extLst>
            <a:ext uri="{FF2B5EF4-FFF2-40B4-BE49-F238E27FC236}">
              <a16:creationId xmlns:a16="http://schemas.microsoft.com/office/drawing/2014/main" id="{00000000-0008-0000-0A00-000023000000}"/>
            </a:ext>
          </a:extLst>
        </xdr:cNvPr>
        <xdr:cNvSpPr>
          <a:spLocks noChangeAspect="1" noChangeArrowheads="1"/>
        </xdr:cNvSpPr>
      </xdr:nvSpPr>
      <xdr:spPr bwMode="auto">
        <a:xfrm>
          <a:off x="0" y="20821650"/>
          <a:ext cx="304800" cy="18669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175458</xdr:rowOff>
    </xdr:to>
    <xdr:sp macro="" textlink="">
      <xdr:nvSpPr>
        <xdr:cNvPr id="36" name="AutoShape 55" descr="+">
          <a:extLst>
            <a:ext uri="{FF2B5EF4-FFF2-40B4-BE49-F238E27FC236}">
              <a16:creationId xmlns:a16="http://schemas.microsoft.com/office/drawing/2014/main" id="{00000000-0008-0000-0A00-000024000000}"/>
            </a:ext>
          </a:extLst>
        </xdr:cNvPr>
        <xdr:cNvSpPr>
          <a:spLocks noChangeAspect="1" noChangeArrowheads="1"/>
        </xdr:cNvSpPr>
      </xdr:nvSpPr>
      <xdr:spPr bwMode="auto">
        <a:xfrm>
          <a:off x="0" y="20821650"/>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214238</xdr:rowOff>
    </xdr:to>
    <xdr:sp macro="" textlink="">
      <xdr:nvSpPr>
        <xdr:cNvPr id="37" name="AutoShape 56" descr="+">
          <a:extLst>
            <a:ext uri="{FF2B5EF4-FFF2-40B4-BE49-F238E27FC236}">
              <a16:creationId xmlns:a16="http://schemas.microsoft.com/office/drawing/2014/main" id="{00000000-0008-0000-0A00-000025000000}"/>
            </a:ext>
          </a:extLst>
        </xdr:cNvPr>
        <xdr:cNvSpPr>
          <a:spLocks noChangeAspect="1" noChangeArrowheads="1"/>
        </xdr:cNvSpPr>
      </xdr:nvSpPr>
      <xdr:spPr bwMode="auto">
        <a:xfrm>
          <a:off x="0" y="20821650"/>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214236</xdr:rowOff>
    </xdr:to>
    <xdr:sp macro="" textlink="">
      <xdr:nvSpPr>
        <xdr:cNvPr id="38" name="AutoShape 57" descr="+">
          <a:extLst>
            <a:ext uri="{FF2B5EF4-FFF2-40B4-BE49-F238E27FC236}">
              <a16:creationId xmlns:a16="http://schemas.microsoft.com/office/drawing/2014/main" id="{00000000-0008-0000-0A00-000026000000}"/>
            </a:ext>
          </a:extLst>
        </xdr:cNvPr>
        <xdr:cNvSpPr>
          <a:spLocks noChangeAspect="1" noChangeArrowheads="1"/>
        </xdr:cNvSpPr>
      </xdr:nvSpPr>
      <xdr:spPr bwMode="auto">
        <a:xfrm>
          <a:off x="0" y="20821650"/>
          <a:ext cx="304800" cy="2105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214239</xdr:rowOff>
    </xdr:to>
    <xdr:sp macro="" textlink="">
      <xdr:nvSpPr>
        <xdr:cNvPr id="39" name="AutoShape 58" descr="+">
          <a:extLst>
            <a:ext uri="{FF2B5EF4-FFF2-40B4-BE49-F238E27FC236}">
              <a16:creationId xmlns:a16="http://schemas.microsoft.com/office/drawing/2014/main" id="{00000000-0008-0000-0A00-000027000000}"/>
            </a:ext>
          </a:extLst>
        </xdr:cNvPr>
        <xdr:cNvSpPr>
          <a:spLocks noChangeAspect="1" noChangeArrowheads="1"/>
        </xdr:cNvSpPr>
      </xdr:nvSpPr>
      <xdr:spPr bwMode="auto">
        <a:xfrm>
          <a:off x="0" y="20821650"/>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308528</xdr:rowOff>
    </xdr:to>
    <xdr:sp macro="" textlink="">
      <xdr:nvSpPr>
        <xdr:cNvPr id="40" name="AutoShape 59" descr="+">
          <a:extLst>
            <a:ext uri="{FF2B5EF4-FFF2-40B4-BE49-F238E27FC236}">
              <a16:creationId xmlns:a16="http://schemas.microsoft.com/office/drawing/2014/main" id="{00000000-0008-0000-0A00-000028000000}"/>
            </a:ext>
          </a:extLst>
        </xdr:cNvPr>
        <xdr:cNvSpPr>
          <a:spLocks noChangeAspect="1" noChangeArrowheads="1"/>
        </xdr:cNvSpPr>
      </xdr:nvSpPr>
      <xdr:spPr bwMode="auto">
        <a:xfrm>
          <a:off x="0" y="20821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185664</xdr:rowOff>
    </xdr:to>
    <xdr:sp macro="" textlink="">
      <xdr:nvSpPr>
        <xdr:cNvPr id="41" name="AutoShape 60" descr="+">
          <a:extLst>
            <a:ext uri="{FF2B5EF4-FFF2-40B4-BE49-F238E27FC236}">
              <a16:creationId xmlns:a16="http://schemas.microsoft.com/office/drawing/2014/main" id="{00000000-0008-0000-0A00-000029000000}"/>
            </a:ext>
          </a:extLst>
        </xdr:cNvPr>
        <xdr:cNvSpPr>
          <a:spLocks noChangeAspect="1" noChangeArrowheads="1"/>
        </xdr:cNvSpPr>
      </xdr:nvSpPr>
      <xdr:spPr bwMode="auto">
        <a:xfrm>
          <a:off x="0" y="20821650"/>
          <a:ext cx="304800" cy="18193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214237</xdr:rowOff>
    </xdr:to>
    <xdr:sp macro="" textlink="">
      <xdr:nvSpPr>
        <xdr:cNvPr id="42" name="AutoShape 61" descr="+">
          <a:extLst>
            <a:ext uri="{FF2B5EF4-FFF2-40B4-BE49-F238E27FC236}">
              <a16:creationId xmlns:a16="http://schemas.microsoft.com/office/drawing/2014/main" id="{00000000-0008-0000-0A00-00002A000000}"/>
            </a:ext>
          </a:extLst>
        </xdr:cNvPr>
        <xdr:cNvSpPr>
          <a:spLocks noChangeAspect="1" noChangeArrowheads="1"/>
        </xdr:cNvSpPr>
      </xdr:nvSpPr>
      <xdr:spPr bwMode="auto">
        <a:xfrm>
          <a:off x="0" y="20821650"/>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214238</xdr:rowOff>
    </xdr:to>
    <xdr:sp macro="" textlink="">
      <xdr:nvSpPr>
        <xdr:cNvPr id="43" name="AutoShape 62" descr="+">
          <a:extLst>
            <a:ext uri="{FF2B5EF4-FFF2-40B4-BE49-F238E27FC236}">
              <a16:creationId xmlns:a16="http://schemas.microsoft.com/office/drawing/2014/main" id="{00000000-0008-0000-0A00-00002B000000}"/>
            </a:ext>
          </a:extLst>
        </xdr:cNvPr>
        <xdr:cNvSpPr>
          <a:spLocks noChangeAspect="1" noChangeArrowheads="1"/>
        </xdr:cNvSpPr>
      </xdr:nvSpPr>
      <xdr:spPr bwMode="auto">
        <a:xfrm>
          <a:off x="0" y="20821650"/>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214238</xdr:rowOff>
    </xdr:to>
    <xdr:sp macro="" textlink="">
      <xdr:nvSpPr>
        <xdr:cNvPr id="44" name="AutoShape 63" descr="+">
          <a:extLst>
            <a:ext uri="{FF2B5EF4-FFF2-40B4-BE49-F238E27FC236}">
              <a16:creationId xmlns:a16="http://schemas.microsoft.com/office/drawing/2014/main" id="{00000000-0008-0000-0A00-00002C000000}"/>
            </a:ext>
          </a:extLst>
        </xdr:cNvPr>
        <xdr:cNvSpPr>
          <a:spLocks noChangeAspect="1" noChangeArrowheads="1"/>
        </xdr:cNvSpPr>
      </xdr:nvSpPr>
      <xdr:spPr bwMode="auto">
        <a:xfrm>
          <a:off x="0" y="20821650"/>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214239</xdr:rowOff>
    </xdr:to>
    <xdr:sp macro="" textlink="">
      <xdr:nvSpPr>
        <xdr:cNvPr id="45" name="AutoShape 64" descr="+">
          <a:extLst>
            <a:ext uri="{FF2B5EF4-FFF2-40B4-BE49-F238E27FC236}">
              <a16:creationId xmlns:a16="http://schemas.microsoft.com/office/drawing/2014/main" id="{00000000-0008-0000-0A00-00002D000000}"/>
            </a:ext>
          </a:extLst>
        </xdr:cNvPr>
        <xdr:cNvSpPr>
          <a:spLocks noChangeAspect="1" noChangeArrowheads="1"/>
        </xdr:cNvSpPr>
      </xdr:nvSpPr>
      <xdr:spPr bwMode="auto">
        <a:xfrm>
          <a:off x="0" y="20821650"/>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190423</xdr:rowOff>
    </xdr:to>
    <xdr:sp macro="" textlink="">
      <xdr:nvSpPr>
        <xdr:cNvPr id="46" name="AutoShape 65" descr="+">
          <a:extLst>
            <a:ext uri="{FF2B5EF4-FFF2-40B4-BE49-F238E27FC236}">
              <a16:creationId xmlns:a16="http://schemas.microsoft.com/office/drawing/2014/main" id="{00000000-0008-0000-0A00-00002E000000}"/>
            </a:ext>
          </a:extLst>
        </xdr:cNvPr>
        <xdr:cNvSpPr>
          <a:spLocks noChangeAspect="1" noChangeArrowheads="1"/>
        </xdr:cNvSpPr>
      </xdr:nvSpPr>
      <xdr:spPr bwMode="auto">
        <a:xfrm>
          <a:off x="0" y="20821650"/>
          <a:ext cx="304800" cy="1866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214239</xdr:rowOff>
    </xdr:to>
    <xdr:sp macro="" textlink="">
      <xdr:nvSpPr>
        <xdr:cNvPr id="47" name="AutoShape 66" descr="+">
          <a:extLst>
            <a:ext uri="{FF2B5EF4-FFF2-40B4-BE49-F238E27FC236}">
              <a16:creationId xmlns:a16="http://schemas.microsoft.com/office/drawing/2014/main" id="{00000000-0008-0000-0A00-00002F000000}"/>
            </a:ext>
          </a:extLst>
        </xdr:cNvPr>
        <xdr:cNvSpPr>
          <a:spLocks noChangeAspect="1" noChangeArrowheads="1"/>
        </xdr:cNvSpPr>
      </xdr:nvSpPr>
      <xdr:spPr bwMode="auto">
        <a:xfrm>
          <a:off x="0" y="20821650"/>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207835</xdr:rowOff>
    </xdr:to>
    <xdr:sp macro="" textlink="">
      <xdr:nvSpPr>
        <xdr:cNvPr id="48" name="AutoShape 67" descr="+">
          <a:extLst>
            <a:ext uri="{FF2B5EF4-FFF2-40B4-BE49-F238E27FC236}">
              <a16:creationId xmlns:a16="http://schemas.microsoft.com/office/drawing/2014/main" id="{00000000-0008-0000-0A00-000030000000}"/>
            </a:ext>
          </a:extLst>
        </xdr:cNvPr>
        <xdr:cNvSpPr>
          <a:spLocks noChangeAspect="1" noChangeArrowheads="1"/>
        </xdr:cNvSpPr>
      </xdr:nvSpPr>
      <xdr:spPr bwMode="auto">
        <a:xfrm>
          <a:off x="0" y="20821650"/>
          <a:ext cx="304800" cy="2041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207835</xdr:rowOff>
    </xdr:to>
    <xdr:sp macro="" textlink="">
      <xdr:nvSpPr>
        <xdr:cNvPr id="49" name="AutoShape 68" descr="+">
          <a:extLst>
            <a:ext uri="{FF2B5EF4-FFF2-40B4-BE49-F238E27FC236}">
              <a16:creationId xmlns:a16="http://schemas.microsoft.com/office/drawing/2014/main" id="{00000000-0008-0000-0A00-000031000000}"/>
            </a:ext>
          </a:extLst>
        </xdr:cNvPr>
        <xdr:cNvSpPr>
          <a:spLocks noChangeAspect="1" noChangeArrowheads="1"/>
        </xdr:cNvSpPr>
      </xdr:nvSpPr>
      <xdr:spPr bwMode="auto">
        <a:xfrm>
          <a:off x="0" y="20821650"/>
          <a:ext cx="304800" cy="2041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175458</xdr:rowOff>
    </xdr:to>
    <xdr:sp macro="" textlink="">
      <xdr:nvSpPr>
        <xdr:cNvPr id="50" name="AutoShape 69" descr="+">
          <a:extLst>
            <a:ext uri="{FF2B5EF4-FFF2-40B4-BE49-F238E27FC236}">
              <a16:creationId xmlns:a16="http://schemas.microsoft.com/office/drawing/2014/main" id="{00000000-0008-0000-0A00-000032000000}"/>
            </a:ext>
          </a:extLst>
        </xdr:cNvPr>
        <xdr:cNvSpPr>
          <a:spLocks noChangeAspect="1" noChangeArrowheads="1"/>
        </xdr:cNvSpPr>
      </xdr:nvSpPr>
      <xdr:spPr bwMode="auto">
        <a:xfrm>
          <a:off x="0" y="20821650"/>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180219</xdr:rowOff>
    </xdr:to>
    <xdr:sp macro="" textlink="">
      <xdr:nvSpPr>
        <xdr:cNvPr id="51" name="AutoShape 70" descr="+">
          <a:extLst>
            <a:ext uri="{FF2B5EF4-FFF2-40B4-BE49-F238E27FC236}">
              <a16:creationId xmlns:a16="http://schemas.microsoft.com/office/drawing/2014/main" id="{00000000-0008-0000-0A00-000033000000}"/>
            </a:ext>
          </a:extLst>
        </xdr:cNvPr>
        <xdr:cNvSpPr>
          <a:spLocks noChangeAspect="1" noChangeArrowheads="1"/>
        </xdr:cNvSpPr>
      </xdr:nvSpPr>
      <xdr:spPr bwMode="auto">
        <a:xfrm>
          <a:off x="0" y="20821650"/>
          <a:ext cx="304800" cy="17649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175459</xdr:rowOff>
    </xdr:to>
    <xdr:sp macro="" textlink="">
      <xdr:nvSpPr>
        <xdr:cNvPr id="52" name="AutoShape 71" descr="+">
          <a:extLst>
            <a:ext uri="{FF2B5EF4-FFF2-40B4-BE49-F238E27FC236}">
              <a16:creationId xmlns:a16="http://schemas.microsoft.com/office/drawing/2014/main" id="{00000000-0008-0000-0A00-000034000000}"/>
            </a:ext>
          </a:extLst>
        </xdr:cNvPr>
        <xdr:cNvSpPr>
          <a:spLocks noChangeAspect="1" noChangeArrowheads="1"/>
        </xdr:cNvSpPr>
      </xdr:nvSpPr>
      <xdr:spPr bwMode="auto">
        <a:xfrm>
          <a:off x="0" y="20821650"/>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214236</xdr:rowOff>
    </xdr:to>
    <xdr:sp macro="" textlink="">
      <xdr:nvSpPr>
        <xdr:cNvPr id="53" name="AutoShape 72" descr="+">
          <a:extLst>
            <a:ext uri="{FF2B5EF4-FFF2-40B4-BE49-F238E27FC236}">
              <a16:creationId xmlns:a16="http://schemas.microsoft.com/office/drawing/2014/main" id="{00000000-0008-0000-0A00-000035000000}"/>
            </a:ext>
          </a:extLst>
        </xdr:cNvPr>
        <xdr:cNvSpPr>
          <a:spLocks noChangeAspect="1" noChangeArrowheads="1"/>
        </xdr:cNvSpPr>
      </xdr:nvSpPr>
      <xdr:spPr bwMode="auto">
        <a:xfrm>
          <a:off x="0" y="20821650"/>
          <a:ext cx="304800" cy="2105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214239</xdr:rowOff>
    </xdr:to>
    <xdr:sp macro="" textlink="">
      <xdr:nvSpPr>
        <xdr:cNvPr id="54" name="AutoShape 73" descr="+">
          <a:extLst>
            <a:ext uri="{FF2B5EF4-FFF2-40B4-BE49-F238E27FC236}">
              <a16:creationId xmlns:a16="http://schemas.microsoft.com/office/drawing/2014/main" id="{00000000-0008-0000-0A00-000036000000}"/>
            </a:ext>
          </a:extLst>
        </xdr:cNvPr>
        <xdr:cNvSpPr>
          <a:spLocks noChangeAspect="1" noChangeArrowheads="1"/>
        </xdr:cNvSpPr>
      </xdr:nvSpPr>
      <xdr:spPr bwMode="auto">
        <a:xfrm>
          <a:off x="0" y="20821650"/>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214237</xdr:rowOff>
    </xdr:to>
    <xdr:sp macro="" textlink="">
      <xdr:nvSpPr>
        <xdr:cNvPr id="55" name="AutoShape 74" descr="+">
          <a:extLst>
            <a:ext uri="{FF2B5EF4-FFF2-40B4-BE49-F238E27FC236}">
              <a16:creationId xmlns:a16="http://schemas.microsoft.com/office/drawing/2014/main" id="{00000000-0008-0000-0A00-000037000000}"/>
            </a:ext>
          </a:extLst>
        </xdr:cNvPr>
        <xdr:cNvSpPr>
          <a:spLocks noChangeAspect="1" noChangeArrowheads="1"/>
        </xdr:cNvSpPr>
      </xdr:nvSpPr>
      <xdr:spPr bwMode="auto">
        <a:xfrm>
          <a:off x="0" y="20821650"/>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214239</xdr:rowOff>
    </xdr:to>
    <xdr:sp macro="" textlink="">
      <xdr:nvSpPr>
        <xdr:cNvPr id="56" name="AutoShape 75" descr="+">
          <a:extLst>
            <a:ext uri="{FF2B5EF4-FFF2-40B4-BE49-F238E27FC236}">
              <a16:creationId xmlns:a16="http://schemas.microsoft.com/office/drawing/2014/main" id="{00000000-0008-0000-0A00-000038000000}"/>
            </a:ext>
          </a:extLst>
        </xdr:cNvPr>
        <xdr:cNvSpPr>
          <a:spLocks noChangeAspect="1" noChangeArrowheads="1"/>
        </xdr:cNvSpPr>
      </xdr:nvSpPr>
      <xdr:spPr bwMode="auto">
        <a:xfrm>
          <a:off x="0" y="20821650"/>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214236</xdr:rowOff>
    </xdr:to>
    <xdr:sp macro="" textlink="">
      <xdr:nvSpPr>
        <xdr:cNvPr id="57" name="AutoShape 76" descr="+">
          <a:extLst>
            <a:ext uri="{FF2B5EF4-FFF2-40B4-BE49-F238E27FC236}">
              <a16:creationId xmlns:a16="http://schemas.microsoft.com/office/drawing/2014/main" id="{00000000-0008-0000-0A00-000039000000}"/>
            </a:ext>
          </a:extLst>
        </xdr:cNvPr>
        <xdr:cNvSpPr>
          <a:spLocks noChangeAspect="1" noChangeArrowheads="1"/>
        </xdr:cNvSpPr>
      </xdr:nvSpPr>
      <xdr:spPr bwMode="auto">
        <a:xfrm>
          <a:off x="0" y="20821650"/>
          <a:ext cx="304800" cy="2105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214238</xdr:rowOff>
    </xdr:to>
    <xdr:sp macro="" textlink="">
      <xdr:nvSpPr>
        <xdr:cNvPr id="58" name="AutoShape 77" descr="+">
          <a:extLst>
            <a:ext uri="{FF2B5EF4-FFF2-40B4-BE49-F238E27FC236}">
              <a16:creationId xmlns:a16="http://schemas.microsoft.com/office/drawing/2014/main" id="{00000000-0008-0000-0A00-00003A000000}"/>
            </a:ext>
          </a:extLst>
        </xdr:cNvPr>
        <xdr:cNvSpPr>
          <a:spLocks noChangeAspect="1" noChangeArrowheads="1"/>
        </xdr:cNvSpPr>
      </xdr:nvSpPr>
      <xdr:spPr bwMode="auto">
        <a:xfrm>
          <a:off x="0" y="20821650"/>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214236</xdr:rowOff>
    </xdr:to>
    <xdr:sp macro="" textlink="">
      <xdr:nvSpPr>
        <xdr:cNvPr id="59" name="AutoShape 78" descr="+">
          <a:extLst>
            <a:ext uri="{FF2B5EF4-FFF2-40B4-BE49-F238E27FC236}">
              <a16:creationId xmlns:a16="http://schemas.microsoft.com/office/drawing/2014/main" id="{00000000-0008-0000-0A00-00003B000000}"/>
            </a:ext>
          </a:extLst>
        </xdr:cNvPr>
        <xdr:cNvSpPr>
          <a:spLocks noChangeAspect="1" noChangeArrowheads="1"/>
        </xdr:cNvSpPr>
      </xdr:nvSpPr>
      <xdr:spPr bwMode="auto">
        <a:xfrm>
          <a:off x="0" y="20821650"/>
          <a:ext cx="304800" cy="2105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170416</xdr:rowOff>
    </xdr:to>
    <xdr:sp macro="" textlink="">
      <xdr:nvSpPr>
        <xdr:cNvPr id="60" name="AutoShape 79" descr="+">
          <a:extLst>
            <a:ext uri="{FF2B5EF4-FFF2-40B4-BE49-F238E27FC236}">
              <a16:creationId xmlns:a16="http://schemas.microsoft.com/office/drawing/2014/main" id="{00000000-0008-0000-0A00-00003C000000}"/>
            </a:ext>
          </a:extLst>
        </xdr:cNvPr>
        <xdr:cNvSpPr>
          <a:spLocks noChangeAspect="1" noChangeArrowheads="1"/>
        </xdr:cNvSpPr>
      </xdr:nvSpPr>
      <xdr:spPr bwMode="auto">
        <a:xfrm>
          <a:off x="0" y="21621750"/>
          <a:ext cx="304800" cy="16668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170415</xdr:rowOff>
    </xdr:to>
    <xdr:sp macro="" textlink="">
      <xdr:nvSpPr>
        <xdr:cNvPr id="61" name="AutoShape 80" descr="+">
          <a:extLst>
            <a:ext uri="{FF2B5EF4-FFF2-40B4-BE49-F238E27FC236}">
              <a16:creationId xmlns:a16="http://schemas.microsoft.com/office/drawing/2014/main" id="{00000000-0008-0000-0A00-00003D000000}"/>
            </a:ext>
          </a:extLst>
        </xdr:cNvPr>
        <xdr:cNvSpPr>
          <a:spLocks noChangeAspect="1" noChangeArrowheads="1"/>
        </xdr:cNvSpPr>
      </xdr:nvSpPr>
      <xdr:spPr bwMode="auto">
        <a:xfrm>
          <a:off x="0" y="21716999"/>
          <a:ext cx="304800" cy="16668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185382</xdr:rowOff>
    </xdr:to>
    <xdr:sp macro="" textlink="">
      <xdr:nvSpPr>
        <xdr:cNvPr id="62" name="AutoShape 81" descr="+">
          <a:extLst>
            <a:ext uri="{FF2B5EF4-FFF2-40B4-BE49-F238E27FC236}">
              <a16:creationId xmlns:a16="http://schemas.microsoft.com/office/drawing/2014/main" id="{00000000-0008-0000-0A00-00003E000000}"/>
            </a:ext>
          </a:extLst>
        </xdr:cNvPr>
        <xdr:cNvSpPr>
          <a:spLocks noChangeAspect="1" noChangeArrowheads="1"/>
        </xdr:cNvSpPr>
      </xdr:nvSpPr>
      <xdr:spPr bwMode="auto">
        <a:xfrm>
          <a:off x="0" y="22002750"/>
          <a:ext cx="304800" cy="18165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170415</xdr:rowOff>
    </xdr:to>
    <xdr:sp macro="" textlink="">
      <xdr:nvSpPr>
        <xdr:cNvPr id="63" name="AutoShape 82" descr="+">
          <a:extLst>
            <a:ext uri="{FF2B5EF4-FFF2-40B4-BE49-F238E27FC236}">
              <a16:creationId xmlns:a16="http://schemas.microsoft.com/office/drawing/2014/main" id="{00000000-0008-0000-0A00-00003F000000}"/>
            </a:ext>
          </a:extLst>
        </xdr:cNvPr>
        <xdr:cNvSpPr>
          <a:spLocks noChangeAspect="1" noChangeArrowheads="1"/>
        </xdr:cNvSpPr>
      </xdr:nvSpPr>
      <xdr:spPr bwMode="auto">
        <a:xfrm>
          <a:off x="0" y="22193250"/>
          <a:ext cx="304800" cy="16668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209198</xdr:rowOff>
    </xdr:to>
    <xdr:sp macro="" textlink="">
      <xdr:nvSpPr>
        <xdr:cNvPr id="64" name="AutoShape 83" descr="+">
          <a:extLst>
            <a:ext uri="{FF2B5EF4-FFF2-40B4-BE49-F238E27FC236}">
              <a16:creationId xmlns:a16="http://schemas.microsoft.com/office/drawing/2014/main" id="{00000000-0008-0000-0A00-000040000000}"/>
            </a:ext>
          </a:extLst>
        </xdr:cNvPr>
        <xdr:cNvSpPr>
          <a:spLocks noChangeAspect="1" noChangeArrowheads="1"/>
        </xdr:cNvSpPr>
      </xdr:nvSpPr>
      <xdr:spPr bwMode="auto">
        <a:xfrm>
          <a:off x="0" y="22383750"/>
          <a:ext cx="304800" cy="20547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209196</xdr:rowOff>
    </xdr:to>
    <xdr:sp macro="" textlink="">
      <xdr:nvSpPr>
        <xdr:cNvPr id="65" name="AutoShape 84" descr="+">
          <a:extLst>
            <a:ext uri="{FF2B5EF4-FFF2-40B4-BE49-F238E27FC236}">
              <a16:creationId xmlns:a16="http://schemas.microsoft.com/office/drawing/2014/main" id="{00000000-0008-0000-0A00-000041000000}"/>
            </a:ext>
          </a:extLst>
        </xdr:cNvPr>
        <xdr:cNvSpPr>
          <a:spLocks noChangeAspect="1" noChangeArrowheads="1"/>
        </xdr:cNvSpPr>
      </xdr:nvSpPr>
      <xdr:spPr bwMode="auto">
        <a:xfrm>
          <a:off x="0" y="22574250"/>
          <a:ext cx="304800" cy="20546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209195</xdr:rowOff>
    </xdr:to>
    <xdr:sp macro="" textlink="">
      <xdr:nvSpPr>
        <xdr:cNvPr id="66" name="AutoShape 85" descr="+">
          <a:extLst>
            <a:ext uri="{FF2B5EF4-FFF2-40B4-BE49-F238E27FC236}">
              <a16:creationId xmlns:a16="http://schemas.microsoft.com/office/drawing/2014/main" id="{00000000-0008-0000-0A00-000042000000}"/>
            </a:ext>
          </a:extLst>
        </xdr:cNvPr>
        <xdr:cNvSpPr>
          <a:spLocks noChangeAspect="1" noChangeArrowheads="1"/>
        </xdr:cNvSpPr>
      </xdr:nvSpPr>
      <xdr:spPr bwMode="auto">
        <a:xfrm>
          <a:off x="0" y="22764750"/>
          <a:ext cx="304800" cy="20546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170415</xdr:rowOff>
    </xdr:to>
    <xdr:sp macro="" textlink="">
      <xdr:nvSpPr>
        <xdr:cNvPr id="67" name="AutoShape 86" descr="+">
          <a:extLst>
            <a:ext uri="{FF2B5EF4-FFF2-40B4-BE49-F238E27FC236}">
              <a16:creationId xmlns:a16="http://schemas.microsoft.com/office/drawing/2014/main" id="{00000000-0008-0000-0A00-000043000000}"/>
            </a:ext>
          </a:extLst>
        </xdr:cNvPr>
        <xdr:cNvSpPr>
          <a:spLocks noChangeAspect="1" noChangeArrowheads="1"/>
        </xdr:cNvSpPr>
      </xdr:nvSpPr>
      <xdr:spPr bwMode="auto">
        <a:xfrm>
          <a:off x="0" y="22955250"/>
          <a:ext cx="304800" cy="16668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209196</xdr:rowOff>
    </xdr:to>
    <xdr:sp macro="" textlink="">
      <xdr:nvSpPr>
        <xdr:cNvPr id="68" name="AutoShape 87" descr="+">
          <a:extLst>
            <a:ext uri="{FF2B5EF4-FFF2-40B4-BE49-F238E27FC236}">
              <a16:creationId xmlns:a16="http://schemas.microsoft.com/office/drawing/2014/main" id="{00000000-0008-0000-0A00-000044000000}"/>
            </a:ext>
          </a:extLst>
        </xdr:cNvPr>
        <xdr:cNvSpPr>
          <a:spLocks noChangeAspect="1" noChangeArrowheads="1"/>
        </xdr:cNvSpPr>
      </xdr:nvSpPr>
      <xdr:spPr bwMode="auto">
        <a:xfrm>
          <a:off x="0" y="23145750"/>
          <a:ext cx="304800" cy="20546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209196</xdr:rowOff>
    </xdr:to>
    <xdr:sp macro="" textlink="">
      <xdr:nvSpPr>
        <xdr:cNvPr id="69" name="AutoShape 88" descr="+">
          <a:extLst>
            <a:ext uri="{FF2B5EF4-FFF2-40B4-BE49-F238E27FC236}">
              <a16:creationId xmlns:a16="http://schemas.microsoft.com/office/drawing/2014/main" id="{00000000-0008-0000-0A00-000045000000}"/>
            </a:ext>
          </a:extLst>
        </xdr:cNvPr>
        <xdr:cNvSpPr>
          <a:spLocks noChangeAspect="1" noChangeArrowheads="1"/>
        </xdr:cNvSpPr>
      </xdr:nvSpPr>
      <xdr:spPr bwMode="auto">
        <a:xfrm>
          <a:off x="0" y="23336250"/>
          <a:ext cx="304800" cy="20546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209197</xdr:rowOff>
    </xdr:to>
    <xdr:sp macro="" textlink="">
      <xdr:nvSpPr>
        <xdr:cNvPr id="70" name="AutoShape 89" descr="+">
          <a:extLst>
            <a:ext uri="{FF2B5EF4-FFF2-40B4-BE49-F238E27FC236}">
              <a16:creationId xmlns:a16="http://schemas.microsoft.com/office/drawing/2014/main" id="{00000000-0008-0000-0A00-000046000000}"/>
            </a:ext>
          </a:extLst>
        </xdr:cNvPr>
        <xdr:cNvSpPr>
          <a:spLocks noChangeAspect="1" noChangeArrowheads="1"/>
        </xdr:cNvSpPr>
      </xdr:nvSpPr>
      <xdr:spPr bwMode="auto">
        <a:xfrm>
          <a:off x="0" y="23526750"/>
          <a:ext cx="304800" cy="20546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209194</xdr:rowOff>
    </xdr:to>
    <xdr:sp macro="" textlink="">
      <xdr:nvSpPr>
        <xdr:cNvPr id="71" name="AutoShape 90" descr="+">
          <a:extLst>
            <a:ext uri="{FF2B5EF4-FFF2-40B4-BE49-F238E27FC236}">
              <a16:creationId xmlns:a16="http://schemas.microsoft.com/office/drawing/2014/main" id="{00000000-0008-0000-0A00-000047000000}"/>
            </a:ext>
          </a:extLst>
        </xdr:cNvPr>
        <xdr:cNvSpPr>
          <a:spLocks noChangeAspect="1" noChangeArrowheads="1"/>
        </xdr:cNvSpPr>
      </xdr:nvSpPr>
      <xdr:spPr bwMode="auto">
        <a:xfrm>
          <a:off x="0" y="23717250"/>
          <a:ext cx="304800" cy="20546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310771</xdr:rowOff>
    </xdr:to>
    <xdr:sp macro="" textlink="">
      <xdr:nvSpPr>
        <xdr:cNvPr id="72" name="AutoShape 91" descr="+">
          <a:extLst>
            <a:ext uri="{FF2B5EF4-FFF2-40B4-BE49-F238E27FC236}">
              <a16:creationId xmlns:a16="http://schemas.microsoft.com/office/drawing/2014/main" id="{00000000-0008-0000-0A00-000048000000}"/>
            </a:ext>
          </a:extLst>
        </xdr:cNvPr>
        <xdr:cNvSpPr>
          <a:spLocks noChangeAspect="1" noChangeArrowheads="1"/>
        </xdr:cNvSpPr>
      </xdr:nvSpPr>
      <xdr:spPr bwMode="auto">
        <a:xfrm>
          <a:off x="0" y="23907750"/>
          <a:ext cx="304800" cy="30704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175177</xdr:rowOff>
    </xdr:to>
    <xdr:sp macro="" textlink="">
      <xdr:nvSpPr>
        <xdr:cNvPr id="73" name="AutoShape 92" descr="+">
          <a:extLst>
            <a:ext uri="{FF2B5EF4-FFF2-40B4-BE49-F238E27FC236}">
              <a16:creationId xmlns:a16="http://schemas.microsoft.com/office/drawing/2014/main" id="{00000000-0008-0000-0A00-000049000000}"/>
            </a:ext>
          </a:extLst>
        </xdr:cNvPr>
        <xdr:cNvSpPr>
          <a:spLocks noChangeAspect="1" noChangeArrowheads="1"/>
        </xdr:cNvSpPr>
      </xdr:nvSpPr>
      <xdr:spPr bwMode="auto">
        <a:xfrm>
          <a:off x="0" y="24098250"/>
          <a:ext cx="304800" cy="17144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209197</xdr:rowOff>
    </xdr:to>
    <xdr:sp macro="" textlink="">
      <xdr:nvSpPr>
        <xdr:cNvPr id="74" name="AutoShape 93" descr="+">
          <a:extLst>
            <a:ext uri="{FF2B5EF4-FFF2-40B4-BE49-F238E27FC236}">
              <a16:creationId xmlns:a16="http://schemas.microsoft.com/office/drawing/2014/main" id="{00000000-0008-0000-0A00-00004A000000}"/>
            </a:ext>
          </a:extLst>
        </xdr:cNvPr>
        <xdr:cNvSpPr>
          <a:spLocks noChangeAspect="1" noChangeArrowheads="1"/>
        </xdr:cNvSpPr>
      </xdr:nvSpPr>
      <xdr:spPr bwMode="auto">
        <a:xfrm>
          <a:off x="0" y="24288750"/>
          <a:ext cx="304800" cy="20546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209197</xdr:rowOff>
    </xdr:to>
    <xdr:sp macro="" textlink="">
      <xdr:nvSpPr>
        <xdr:cNvPr id="75" name="AutoShape 94" descr="+">
          <a:extLst>
            <a:ext uri="{FF2B5EF4-FFF2-40B4-BE49-F238E27FC236}">
              <a16:creationId xmlns:a16="http://schemas.microsoft.com/office/drawing/2014/main" id="{00000000-0008-0000-0A00-00004B000000}"/>
            </a:ext>
          </a:extLst>
        </xdr:cNvPr>
        <xdr:cNvSpPr>
          <a:spLocks noChangeAspect="1" noChangeArrowheads="1"/>
        </xdr:cNvSpPr>
      </xdr:nvSpPr>
      <xdr:spPr bwMode="auto">
        <a:xfrm>
          <a:off x="0" y="24479250"/>
          <a:ext cx="304800" cy="20546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204435</xdr:rowOff>
    </xdr:to>
    <xdr:sp macro="" textlink="">
      <xdr:nvSpPr>
        <xdr:cNvPr id="76" name="AutoShape 95" descr="+">
          <a:extLst>
            <a:ext uri="{FF2B5EF4-FFF2-40B4-BE49-F238E27FC236}">
              <a16:creationId xmlns:a16="http://schemas.microsoft.com/office/drawing/2014/main" id="{00000000-0008-0000-0A00-00004C000000}"/>
            </a:ext>
          </a:extLst>
        </xdr:cNvPr>
        <xdr:cNvSpPr>
          <a:spLocks noChangeAspect="1" noChangeArrowheads="1"/>
        </xdr:cNvSpPr>
      </xdr:nvSpPr>
      <xdr:spPr bwMode="auto">
        <a:xfrm>
          <a:off x="0" y="24669750"/>
          <a:ext cx="304800" cy="2007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175457</xdr:rowOff>
    </xdr:to>
    <xdr:sp macro="" textlink="">
      <xdr:nvSpPr>
        <xdr:cNvPr id="77" name="AutoShape 96" descr="+">
          <a:extLst>
            <a:ext uri="{FF2B5EF4-FFF2-40B4-BE49-F238E27FC236}">
              <a16:creationId xmlns:a16="http://schemas.microsoft.com/office/drawing/2014/main" id="{00000000-0008-0000-0A00-00004D000000}"/>
            </a:ext>
          </a:extLst>
        </xdr:cNvPr>
        <xdr:cNvSpPr>
          <a:spLocks noChangeAspect="1" noChangeArrowheads="1"/>
        </xdr:cNvSpPr>
      </xdr:nvSpPr>
      <xdr:spPr bwMode="auto">
        <a:xfrm>
          <a:off x="0" y="25155525"/>
          <a:ext cx="304800" cy="17172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175458</xdr:rowOff>
    </xdr:to>
    <xdr:sp macro="" textlink="">
      <xdr:nvSpPr>
        <xdr:cNvPr id="78" name="AutoShape 97" descr="+">
          <a:extLst>
            <a:ext uri="{FF2B5EF4-FFF2-40B4-BE49-F238E27FC236}">
              <a16:creationId xmlns:a16="http://schemas.microsoft.com/office/drawing/2014/main" id="{00000000-0008-0000-0A00-00004E000000}"/>
            </a:ext>
          </a:extLst>
        </xdr:cNvPr>
        <xdr:cNvSpPr>
          <a:spLocks noChangeAspect="1" noChangeArrowheads="1"/>
        </xdr:cNvSpPr>
      </xdr:nvSpPr>
      <xdr:spPr bwMode="auto">
        <a:xfrm>
          <a:off x="0" y="25155525"/>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180219</xdr:rowOff>
    </xdr:to>
    <xdr:sp macro="" textlink="">
      <xdr:nvSpPr>
        <xdr:cNvPr id="79" name="AutoShape 98" descr="+">
          <a:extLst>
            <a:ext uri="{FF2B5EF4-FFF2-40B4-BE49-F238E27FC236}">
              <a16:creationId xmlns:a16="http://schemas.microsoft.com/office/drawing/2014/main" id="{00000000-0008-0000-0A00-00004F000000}"/>
            </a:ext>
          </a:extLst>
        </xdr:cNvPr>
        <xdr:cNvSpPr>
          <a:spLocks noChangeAspect="1" noChangeArrowheads="1"/>
        </xdr:cNvSpPr>
      </xdr:nvSpPr>
      <xdr:spPr bwMode="auto">
        <a:xfrm>
          <a:off x="0" y="25155525"/>
          <a:ext cx="304800" cy="17649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214240</xdr:rowOff>
    </xdr:to>
    <xdr:sp macro="" textlink="">
      <xdr:nvSpPr>
        <xdr:cNvPr id="80" name="AutoShape 99" descr="+">
          <a:extLst>
            <a:ext uri="{FF2B5EF4-FFF2-40B4-BE49-F238E27FC236}">
              <a16:creationId xmlns:a16="http://schemas.microsoft.com/office/drawing/2014/main" id="{00000000-0008-0000-0A00-000050000000}"/>
            </a:ext>
          </a:extLst>
        </xdr:cNvPr>
        <xdr:cNvSpPr>
          <a:spLocks noChangeAspect="1" noChangeArrowheads="1"/>
        </xdr:cNvSpPr>
      </xdr:nvSpPr>
      <xdr:spPr bwMode="auto">
        <a:xfrm>
          <a:off x="0" y="25155525"/>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185663</xdr:rowOff>
    </xdr:to>
    <xdr:sp macro="" textlink="">
      <xdr:nvSpPr>
        <xdr:cNvPr id="81" name="AutoShape 100" descr="+">
          <a:extLst>
            <a:ext uri="{FF2B5EF4-FFF2-40B4-BE49-F238E27FC236}">
              <a16:creationId xmlns:a16="http://schemas.microsoft.com/office/drawing/2014/main" id="{00000000-0008-0000-0A00-000051000000}"/>
            </a:ext>
          </a:extLst>
        </xdr:cNvPr>
        <xdr:cNvSpPr>
          <a:spLocks noChangeAspect="1" noChangeArrowheads="1"/>
        </xdr:cNvSpPr>
      </xdr:nvSpPr>
      <xdr:spPr bwMode="auto">
        <a:xfrm>
          <a:off x="0" y="25155525"/>
          <a:ext cx="304800" cy="18193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214238</xdr:rowOff>
    </xdr:to>
    <xdr:sp macro="" textlink="">
      <xdr:nvSpPr>
        <xdr:cNvPr id="82" name="AutoShape 101" descr="+">
          <a:extLst>
            <a:ext uri="{FF2B5EF4-FFF2-40B4-BE49-F238E27FC236}">
              <a16:creationId xmlns:a16="http://schemas.microsoft.com/office/drawing/2014/main" id="{00000000-0008-0000-0A00-000052000000}"/>
            </a:ext>
          </a:extLst>
        </xdr:cNvPr>
        <xdr:cNvSpPr>
          <a:spLocks noChangeAspect="1" noChangeArrowheads="1"/>
        </xdr:cNvSpPr>
      </xdr:nvSpPr>
      <xdr:spPr bwMode="auto">
        <a:xfrm>
          <a:off x="0" y="2515552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214236</xdr:rowOff>
    </xdr:to>
    <xdr:sp macro="" textlink="">
      <xdr:nvSpPr>
        <xdr:cNvPr id="83" name="AutoShape 102" descr="+">
          <a:extLst>
            <a:ext uri="{FF2B5EF4-FFF2-40B4-BE49-F238E27FC236}">
              <a16:creationId xmlns:a16="http://schemas.microsoft.com/office/drawing/2014/main" id="{00000000-0008-0000-0A00-000053000000}"/>
            </a:ext>
          </a:extLst>
        </xdr:cNvPr>
        <xdr:cNvSpPr>
          <a:spLocks noChangeAspect="1" noChangeArrowheads="1"/>
        </xdr:cNvSpPr>
      </xdr:nvSpPr>
      <xdr:spPr bwMode="auto">
        <a:xfrm>
          <a:off x="0" y="25155525"/>
          <a:ext cx="304800" cy="2105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214240</xdr:rowOff>
    </xdr:to>
    <xdr:sp macro="" textlink="">
      <xdr:nvSpPr>
        <xdr:cNvPr id="84" name="AutoShape 103" descr="+">
          <a:extLst>
            <a:ext uri="{FF2B5EF4-FFF2-40B4-BE49-F238E27FC236}">
              <a16:creationId xmlns:a16="http://schemas.microsoft.com/office/drawing/2014/main" id="{00000000-0008-0000-0A00-000054000000}"/>
            </a:ext>
          </a:extLst>
        </xdr:cNvPr>
        <xdr:cNvSpPr>
          <a:spLocks noChangeAspect="1" noChangeArrowheads="1"/>
        </xdr:cNvSpPr>
      </xdr:nvSpPr>
      <xdr:spPr bwMode="auto">
        <a:xfrm>
          <a:off x="0" y="25155525"/>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214236</xdr:rowOff>
    </xdr:to>
    <xdr:sp macro="" textlink="">
      <xdr:nvSpPr>
        <xdr:cNvPr id="85" name="AutoShape 104" descr="+">
          <a:extLst>
            <a:ext uri="{FF2B5EF4-FFF2-40B4-BE49-F238E27FC236}">
              <a16:creationId xmlns:a16="http://schemas.microsoft.com/office/drawing/2014/main" id="{00000000-0008-0000-0A00-000055000000}"/>
            </a:ext>
          </a:extLst>
        </xdr:cNvPr>
        <xdr:cNvSpPr>
          <a:spLocks noChangeAspect="1" noChangeArrowheads="1"/>
        </xdr:cNvSpPr>
      </xdr:nvSpPr>
      <xdr:spPr bwMode="auto">
        <a:xfrm>
          <a:off x="0" y="25155525"/>
          <a:ext cx="304800" cy="2105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175860</xdr:rowOff>
    </xdr:to>
    <xdr:sp macro="" textlink="">
      <xdr:nvSpPr>
        <xdr:cNvPr id="86" name="AutoShape 105" descr="+">
          <a:extLst>
            <a:ext uri="{FF2B5EF4-FFF2-40B4-BE49-F238E27FC236}">
              <a16:creationId xmlns:a16="http://schemas.microsoft.com/office/drawing/2014/main" id="{00000000-0008-0000-0A00-000056000000}"/>
            </a:ext>
          </a:extLst>
        </xdr:cNvPr>
        <xdr:cNvSpPr>
          <a:spLocks noChangeAspect="1" noChangeArrowheads="1"/>
        </xdr:cNvSpPr>
      </xdr:nvSpPr>
      <xdr:spPr bwMode="auto">
        <a:xfrm>
          <a:off x="0" y="25155525"/>
          <a:ext cx="304800" cy="17213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204432</xdr:rowOff>
    </xdr:to>
    <xdr:sp macro="" textlink="">
      <xdr:nvSpPr>
        <xdr:cNvPr id="87" name="AutoShape 106" descr="+">
          <a:extLst>
            <a:ext uri="{FF2B5EF4-FFF2-40B4-BE49-F238E27FC236}">
              <a16:creationId xmlns:a16="http://schemas.microsoft.com/office/drawing/2014/main" id="{00000000-0008-0000-0A00-000057000000}"/>
            </a:ext>
          </a:extLst>
        </xdr:cNvPr>
        <xdr:cNvSpPr>
          <a:spLocks noChangeAspect="1" noChangeArrowheads="1"/>
        </xdr:cNvSpPr>
      </xdr:nvSpPr>
      <xdr:spPr bwMode="auto">
        <a:xfrm>
          <a:off x="0" y="25155525"/>
          <a:ext cx="304800" cy="20070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207837</xdr:rowOff>
    </xdr:to>
    <xdr:sp macro="" textlink="">
      <xdr:nvSpPr>
        <xdr:cNvPr id="88" name="AutoShape 107" descr="+">
          <a:extLst>
            <a:ext uri="{FF2B5EF4-FFF2-40B4-BE49-F238E27FC236}">
              <a16:creationId xmlns:a16="http://schemas.microsoft.com/office/drawing/2014/main" id="{00000000-0008-0000-0A00-000058000000}"/>
            </a:ext>
          </a:extLst>
        </xdr:cNvPr>
        <xdr:cNvSpPr>
          <a:spLocks noChangeAspect="1" noChangeArrowheads="1"/>
        </xdr:cNvSpPr>
      </xdr:nvSpPr>
      <xdr:spPr bwMode="auto">
        <a:xfrm>
          <a:off x="0" y="25155525"/>
          <a:ext cx="304800" cy="2041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175457</xdr:rowOff>
    </xdr:to>
    <xdr:sp macro="" textlink="">
      <xdr:nvSpPr>
        <xdr:cNvPr id="89" name="AutoShape 108" descr="+">
          <a:extLst>
            <a:ext uri="{FF2B5EF4-FFF2-40B4-BE49-F238E27FC236}">
              <a16:creationId xmlns:a16="http://schemas.microsoft.com/office/drawing/2014/main" id="{00000000-0008-0000-0A00-000059000000}"/>
            </a:ext>
          </a:extLst>
        </xdr:cNvPr>
        <xdr:cNvSpPr>
          <a:spLocks noChangeAspect="1" noChangeArrowheads="1"/>
        </xdr:cNvSpPr>
      </xdr:nvSpPr>
      <xdr:spPr bwMode="auto">
        <a:xfrm>
          <a:off x="0" y="25155525"/>
          <a:ext cx="304800" cy="17172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185665</xdr:rowOff>
    </xdr:to>
    <xdr:sp macro="" textlink="">
      <xdr:nvSpPr>
        <xdr:cNvPr id="90" name="AutoShape 109" descr="+">
          <a:extLst>
            <a:ext uri="{FF2B5EF4-FFF2-40B4-BE49-F238E27FC236}">
              <a16:creationId xmlns:a16="http://schemas.microsoft.com/office/drawing/2014/main" id="{00000000-0008-0000-0A00-00005A000000}"/>
            </a:ext>
          </a:extLst>
        </xdr:cNvPr>
        <xdr:cNvSpPr>
          <a:spLocks noChangeAspect="1" noChangeArrowheads="1"/>
        </xdr:cNvSpPr>
      </xdr:nvSpPr>
      <xdr:spPr bwMode="auto">
        <a:xfrm>
          <a:off x="0" y="25155525"/>
          <a:ext cx="304800" cy="1819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175457</xdr:rowOff>
    </xdr:to>
    <xdr:sp macro="" textlink="">
      <xdr:nvSpPr>
        <xdr:cNvPr id="91" name="AutoShape 110" descr="+">
          <a:extLst>
            <a:ext uri="{FF2B5EF4-FFF2-40B4-BE49-F238E27FC236}">
              <a16:creationId xmlns:a16="http://schemas.microsoft.com/office/drawing/2014/main" id="{00000000-0008-0000-0A00-00005B000000}"/>
            </a:ext>
          </a:extLst>
        </xdr:cNvPr>
        <xdr:cNvSpPr>
          <a:spLocks noChangeAspect="1" noChangeArrowheads="1"/>
        </xdr:cNvSpPr>
      </xdr:nvSpPr>
      <xdr:spPr bwMode="auto">
        <a:xfrm>
          <a:off x="0" y="25155525"/>
          <a:ext cx="304800" cy="17172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214238</xdr:rowOff>
    </xdr:to>
    <xdr:sp macro="" textlink="">
      <xdr:nvSpPr>
        <xdr:cNvPr id="92" name="AutoShape 111" descr="+">
          <a:extLst>
            <a:ext uri="{FF2B5EF4-FFF2-40B4-BE49-F238E27FC236}">
              <a16:creationId xmlns:a16="http://schemas.microsoft.com/office/drawing/2014/main" id="{00000000-0008-0000-0A00-00005C000000}"/>
            </a:ext>
          </a:extLst>
        </xdr:cNvPr>
        <xdr:cNvSpPr>
          <a:spLocks noChangeAspect="1" noChangeArrowheads="1"/>
        </xdr:cNvSpPr>
      </xdr:nvSpPr>
      <xdr:spPr bwMode="auto">
        <a:xfrm>
          <a:off x="0" y="2515552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214239</xdr:rowOff>
    </xdr:to>
    <xdr:sp macro="" textlink="">
      <xdr:nvSpPr>
        <xdr:cNvPr id="93" name="AutoShape 112" descr="+">
          <a:extLst>
            <a:ext uri="{FF2B5EF4-FFF2-40B4-BE49-F238E27FC236}">
              <a16:creationId xmlns:a16="http://schemas.microsoft.com/office/drawing/2014/main" id="{00000000-0008-0000-0A00-00005D000000}"/>
            </a:ext>
          </a:extLst>
        </xdr:cNvPr>
        <xdr:cNvSpPr>
          <a:spLocks noChangeAspect="1" noChangeArrowheads="1"/>
        </xdr:cNvSpPr>
      </xdr:nvSpPr>
      <xdr:spPr bwMode="auto">
        <a:xfrm>
          <a:off x="0" y="2515552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195185</xdr:rowOff>
    </xdr:to>
    <xdr:sp macro="" textlink="">
      <xdr:nvSpPr>
        <xdr:cNvPr id="94" name="AutoShape 113" descr="+">
          <a:extLst>
            <a:ext uri="{FF2B5EF4-FFF2-40B4-BE49-F238E27FC236}">
              <a16:creationId xmlns:a16="http://schemas.microsoft.com/office/drawing/2014/main" id="{00000000-0008-0000-0A00-00005E000000}"/>
            </a:ext>
          </a:extLst>
        </xdr:cNvPr>
        <xdr:cNvSpPr>
          <a:spLocks noChangeAspect="1" noChangeArrowheads="1"/>
        </xdr:cNvSpPr>
      </xdr:nvSpPr>
      <xdr:spPr bwMode="auto">
        <a:xfrm>
          <a:off x="0" y="25155525"/>
          <a:ext cx="304800" cy="1914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214238</xdr:rowOff>
    </xdr:to>
    <xdr:sp macro="" textlink="">
      <xdr:nvSpPr>
        <xdr:cNvPr id="95" name="AutoShape 114" descr="+">
          <a:extLst>
            <a:ext uri="{FF2B5EF4-FFF2-40B4-BE49-F238E27FC236}">
              <a16:creationId xmlns:a16="http://schemas.microsoft.com/office/drawing/2014/main" id="{00000000-0008-0000-0A00-00005F000000}"/>
            </a:ext>
          </a:extLst>
        </xdr:cNvPr>
        <xdr:cNvSpPr>
          <a:spLocks noChangeAspect="1" noChangeArrowheads="1"/>
        </xdr:cNvSpPr>
      </xdr:nvSpPr>
      <xdr:spPr bwMode="auto">
        <a:xfrm>
          <a:off x="0" y="2515552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214239</xdr:rowOff>
    </xdr:to>
    <xdr:sp macro="" textlink="">
      <xdr:nvSpPr>
        <xdr:cNvPr id="96" name="AutoShape 115" descr="+">
          <a:extLst>
            <a:ext uri="{FF2B5EF4-FFF2-40B4-BE49-F238E27FC236}">
              <a16:creationId xmlns:a16="http://schemas.microsoft.com/office/drawing/2014/main" id="{00000000-0008-0000-0A00-000060000000}"/>
            </a:ext>
          </a:extLst>
        </xdr:cNvPr>
        <xdr:cNvSpPr>
          <a:spLocks noChangeAspect="1" noChangeArrowheads="1"/>
        </xdr:cNvSpPr>
      </xdr:nvSpPr>
      <xdr:spPr bwMode="auto">
        <a:xfrm>
          <a:off x="0" y="2515552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214239</xdr:rowOff>
    </xdr:to>
    <xdr:sp macro="" textlink="">
      <xdr:nvSpPr>
        <xdr:cNvPr id="97" name="AutoShape 116" descr="+">
          <a:extLst>
            <a:ext uri="{FF2B5EF4-FFF2-40B4-BE49-F238E27FC236}">
              <a16:creationId xmlns:a16="http://schemas.microsoft.com/office/drawing/2014/main" id="{00000000-0008-0000-0A00-000061000000}"/>
            </a:ext>
          </a:extLst>
        </xdr:cNvPr>
        <xdr:cNvSpPr>
          <a:spLocks noChangeAspect="1" noChangeArrowheads="1"/>
        </xdr:cNvSpPr>
      </xdr:nvSpPr>
      <xdr:spPr bwMode="auto">
        <a:xfrm>
          <a:off x="0" y="2515552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214238</xdr:rowOff>
    </xdr:to>
    <xdr:sp macro="" textlink="">
      <xdr:nvSpPr>
        <xdr:cNvPr id="98" name="AutoShape 117" descr="+">
          <a:extLst>
            <a:ext uri="{FF2B5EF4-FFF2-40B4-BE49-F238E27FC236}">
              <a16:creationId xmlns:a16="http://schemas.microsoft.com/office/drawing/2014/main" id="{00000000-0008-0000-0A00-000062000000}"/>
            </a:ext>
          </a:extLst>
        </xdr:cNvPr>
        <xdr:cNvSpPr>
          <a:spLocks noChangeAspect="1" noChangeArrowheads="1"/>
        </xdr:cNvSpPr>
      </xdr:nvSpPr>
      <xdr:spPr bwMode="auto">
        <a:xfrm>
          <a:off x="0" y="2515552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214238</xdr:rowOff>
    </xdr:to>
    <xdr:sp macro="" textlink="">
      <xdr:nvSpPr>
        <xdr:cNvPr id="99" name="AutoShape 118" descr="+">
          <a:extLst>
            <a:ext uri="{FF2B5EF4-FFF2-40B4-BE49-F238E27FC236}">
              <a16:creationId xmlns:a16="http://schemas.microsoft.com/office/drawing/2014/main" id="{00000000-0008-0000-0A00-000063000000}"/>
            </a:ext>
          </a:extLst>
        </xdr:cNvPr>
        <xdr:cNvSpPr>
          <a:spLocks noChangeAspect="1" noChangeArrowheads="1"/>
        </xdr:cNvSpPr>
      </xdr:nvSpPr>
      <xdr:spPr bwMode="auto">
        <a:xfrm>
          <a:off x="0" y="2515552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214236</xdr:rowOff>
    </xdr:to>
    <xdr:sp macro="" textlink="">
      <xdr:nvSpPr>
        <xdr:cNvPr id="100" name="AutoShape 119" descr="+">
          <a:extLst>
            <a:ext uri="{FF2B5EF4-FFF2-40B4-BE49-F238E27FC236}">
              <a16:creationId xmlns:a16="http://schemas.microsoft.com/office/drawing/2014/main" id="{00000000-0008-0000-0A00-000064000000}"/>
            </a:ext>
          </a:extLst>
        </xdr:cNvPr>
        <xdr:cNvSpPr>
          <a:spLocks noChangeAspect="1" noChangeArrowheads="1"/>
        </xdr:cNvSpPr>
      </xdr:nvSpPr>
      <xdr:spPr bwMode="auto">
        <a:xfrm>
          <a:off x="0" y="25155525"/>
          <a:ext cx="304800" cy="2105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175458</xdr:rowOff>
    </xdr:to>
    <xdr:sp macro="" textlink="">
      <xdr:nvSpPr>
        <xdr:cNvPr id="101" name="AutoShape 120" descr="+">
          <a:extLst>
            <a:ext uri="{FF2B5EF4-FFF2-40B4-BE49-F238E27FC236}">
              <a16:creationId xmlns:a16="http://schemas.microsoft.com/office/drawing/2014/main" id="{00000000-0008-0000-0A00-000065000000}"/>
            </a:ext>
          </a:extLst>
        </xdr:cNvPr>
        <xdr:cNvSpPr>
          <a:spLocks noChangeAspect="1" noChangeArrowheads="1"/>
        </xdr:cNvSpPr>
      </xdr:nvSpPr>
      <xdr:spPr bwMode="auto">
        <a:xfrm>
          <a:off x="0" y="25155525"/>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175457</xdr:rowOff>
    </xdr:to>
    <xdr:sp macro="" textlink="">
      <xdr:nvSpPr>
        <xdr:cNvPr id="102" name="AutoShape 121" descr="+">
          <a:extLst>
            <a:ext uri="{FF2B5EF4-FFF2-40B4-BE49-F238E27FC236}">
              <a16:creationId xmlns:a16="http://schemas.microsoft.com/office/drawing/2014/main" id="{00000000-0008-0000-0A00-000066000000}"/>
            </a:ext>
          </a:extLst>
        </xdr:cNvPr>
        <xdr:cNvSpPr>
          <a:spLocks noChangeAspect="1" noChangeArrowheads="1"/>
        </xdr:cNvSpPr>
      </xdr:nvSpPr>
      <xdr:spPr bwMode="auto">
        <a:xfrm>
          <a:off x="0" y="25155525"/>
          <a:ext cx="304800" cy="17172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185665</xdr:rowOff>
    </xdr:to>
    <xdr:sp macro="" textlink="">
      <xdr:nvSpPr>
        <xdr:cNvPr id="103" name="AutoShape 122" descr="+">
          <a:extLst>
            <a:ext uri="{FF2B5EF4-FFF2-40B4-BE49-F238E27FC236}">
              <a16:creationId xmlns:a16="http://schemas.microsoft.com/office/drawing/2014/main" id="{00000000-0008-0000-0A00-000067000000}"/>
            </a:ext>
          </a:extLst>
        </xdr:cNvPr>
        <xdr:cNvSpPr>
          <a:spLocks noChangeAspect="1" noChangeArrowheads="1"/>
        </xdr:cNvSpPr>
      </xdr:nvSpPr>
      <xdr:spPr bwMode="auto">
        <a:xfrm>
          <a:off x="0" y="25155525"/>
          <a:ext cx="304800" cy="1819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180219</xdr:rowOff>
    </xdr:to>
    <xdr:sp macro="" textlink="">
      <xdr:nvSpPr>
        <xdr:cNvPr id="104" name="AutoShape 123" descr="+">
          <a:extLst>
            <a:ext uri="{FF2B5EF4-FFF2-40B4-BE49-F238E27FC236}">
              <a16:creationId xmlns:a16="http://schemas.microsoft.com/office/drawing/2014/main" id="{00000000-0008-0000-0A00-000068000000}"/>
            </a:ext>
          </a:extLst>
        </xdr:cNvPr>
        <xdr:cNvSpPr>
          <a:spLocks noChangeAspect="1" noChangeArrowheads="1"/>
        </xdr:cNvSpPr>
      </xdr:nvSpPr>
      <xdr:spPr bwMode="auto">
        <a:xfrm>
          <a:off x="0" y="25155525"/>
          <a:ext cx="304800" cy="17649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214239</xdr:rowOff>
    </xdr:to>
    <xdr:sp macro="" textlink="">
      <xdr:nvSpPr>
        <xdr:cNvPr id="105" name="AutoShape 124" descr="+">
          <a:extLst>
            <a:ext uri="{FF2B5EF4-FFF2-40B4-BE49-F238E27FC236}">
              <a16:creationId xmlns:a16="http://schemas.microsoft.com/office/drawing/2014/main" id="{00000000-0008-0000-0A00-000069000000}"/>
            </a:ext>
          </a:extLst>
        </xdr:cNvPr>
        <xdr:cNvSpPr>
          <a:spLocks noChangeAspect="1" noChangeArrowheads="1"/>
        </xdr:cNvSpPr>
      </xdr:nvSpPr>
      <xdr:spPr bwMode="auto">
        <a:xfrm>
          <a:off x="0" y="2515552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214237</xdr:rowOff>
    </xdr:to>
    <xdr:sp macro="" textlink="">
      <xdr:nvSpPr>
        <xdr:cNvPr id="106" name="AutoShape 125" descr="+">
          <a:extLst>
            <a:ext uri="{FF2B5EF4-FFF2-40B4-BE49-F238E27FC236}">
              <a16:creationId xmlns:a16="http://schemas.microsoft.com/office/drawing/2014/main" id="{00000000-0008-0000-0A00-00006A000000}"/>
            </a:ext>
          </a:extLst>
        </xdr:cNvPr>
        <xdr:cNvSpPr>
          <a:spLocks noChangeAspect="1" noChangeArrowheads="1"/>
        </xdr:cNvSpPr>
      </xdr:nvSpPr>
      <xdr:spPr bwMode="auto">
        <a:xfrm>
          <a:off x="0" y="25155525"/>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214239</xdr:rowOff>
    </xdr:to>
    <xdr:sp macro="" textlink="">
      <xdr:nvSpPr>
        <xdr:cNvPr id="107" name="AutoShape 126" descr="+">
          <a:extLst>
            <a:ext uri="{FF2B5EF4-FFF2-40B4-BE49-F238E27FC236}">
              <a16:creationId xmlns:a16="http://schemas.microsoft.com/office/drawing/2014/main" id="{00000000-0008-0000-0A00-00006B000000}"/>
            </a:ext>
          </a:extLst>
        </xdr:cNvPr>
        <xdr:cNvSpPr>
          <a:spLocks noChangeAspect="1" noChangeArrowheads="1"/>
        </xdr:cNvSpPr>
      </xdr:nvSpPr>
      <xdr:spPr bwMode="auto">
        <a:xfrm>
          <a:off x="0" y="2515552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206815</xdr:rowOff>
    </xdr:to>
    <xdr:sp macro="" textlink="">
      <xdr:nvSpPr>
        <xdr:cNvPr id="108" name="AutoShape 127" descr="+">
          <a:extLst>
            <a:ext uri="{FF2B5EF4-FFF2-40B4-BE49-F238E27FC236}">
              <a16:creationId xmlns:a16="http://schemas.microsoft.com/office/drawing/2014/main" id="{00000000-0008-0000-0A00-00006C000000}"/>
            </a:ext>
          </a:extLst>
        </xdr:cNvPr>
        <xdr:cNvSpPr>
          <a:spLocks noChangeAspect="1" noChangeArrowheads="1"/>
        </xdr:cNvSpPr>
      </xdr:nvSpPr>
      <xdr:spPr bwMode="auto">
        <a:xfrm>
          <a:off x="0" y="25155525"/>
          <a:ext cx="304800" cy="20308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206816</xdr:rowOff>
    </xdr:to>
    <xdr:sp macro="" textlink="">
      <xdr:nvSpPr>
        <xdr:cNvPr id="109" name="AutoShape 128" descr="+">
          <a:extLst>
            <a:ext uri="{FF2B5EF4-FFF2-40B4-BE49-F238E27FC236}">
              <a16:creationId xmlns:a16="http://schemas.microsoft.com/office/drawing/2014/main" id="{00000000-0008-0000-0A00-00006D000000}"/>
            </a:ext>
          </a:extLst>
        </xdr:cNvPr>
        <xdr:cNvSpPr>
          <a:spLocks noChangeAspect="1" noChangeArrowheads="1"/>
        </xdr:cNvSpPr>
      </xdr:nvSpPr>
      <xdr:spPr bwMode="auto">
        <a:xfrm>
          <a:off x="0" y="25155525"/>
          <a:ext cx="304800" cy="20308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214236</xdr:rowOff>
    </xdr:to>
    <xdr:sp macro="" textlink="">
      <xdr:nvSpPr>
        <xdr:cNvPr id="110" name="AutoShape 129" descr="+">
          <a:extLst>
            <a:ext uri="{FF2B5EF4-FFF2-40B4-BE49-F238E27FC236}">
              <a16:creationId xmlns:a16="http://schemas.microsoft.com/office/drawing/2014/main" id="{00000000-0008-0000-0A00-00006E000000}"/>
            </a:ext>
          </a:extLst>
        </xdr:cNvPr>
        <xdr:cNvSpPr>
          <a:spLocks noChangeAspect="1" noChangeArrowheads="1"/>
        </xdr:cNvSpPr>
      </xdr:nvSpPr>
      <xdr:spPr bwMode="auto">
        <a:xfrm>
          <a:off x="0" y="25155525"/>
          <a:ext cx="304800" cy="2105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175457</xdr:rowOff>
    </xdr:to>
    <xdr:sp macro="" textlink="">
      <xdr:nvSpPr>
        <xdr:cNvPr id="111" name="AutoShape 130" descr="+">
          <a:extLst>
            <a:ext uri="{FF2B5EF4-FFF2-40B4-BE49-F238E27FC236}">
              <a16:creationId xmlns:a16="http://schemas.microsoft.com/office/drawing/2014/main" id="{00000000-0008-0000-0A00-00006F000000}"/>
            </a:ext>
          </a:extLst>
        </xdr:cNvPr>
        <xdr:cNvSpPr>
          <a:spLocks noChangeAspect="1" noChangeArrowheads="1"/>
        </xdr:cNvSpPr>
      </xdr:nvSpPr>
      <xdr:spPr bwMode="auto">
        <a:xfrm>
          <a:off x="0" y="25155525"/>
          <a:ext cx="304800" cy="17172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175458</xdr:rowOff>
    </xdr:to>
    <xdr:sp macro="" textlink="">
      <xdr:nvSpPr>
        <xdr:cNvPr id="112" name="AutoShape 131" descr="+">
          <a:extLst>
            <a:ext uri="{FF2B5EF4-FFF2-40B4-BE49-F238E27FC236}">
              <a16:creationId xmlns:a16="http://schemas.microsoft.com/office/drawing/2014/main" id="{00000000-0008-0000-0A00-000070000000}"/>
            </a:ext>
          </a:extLst>
        </xdr:cNvPr>
        <xdr:cNvSpPr>
          <a:spLocks noChangeAspect="1" noChangeArrowheads="1"/>
        </xdr:cNvSpPr>
      </xdr:nvSpPr>
      <xdr:spPr bwMode="auto">
        <a:xfrm>
          <a:off x="0" y="25155525"/>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214238</xdr:rowOff>
    </xdr:to>
    <xdr:sp macro="" textlink="">
      <xdr:nvSpPr>
        <xdr:cNvPr id="113" name="AutoShape 132" descr="+">
          <a:extLst>
            <a:ext uri="{FF2B5EF4-FFF2-40B4-BE49-F238E27FC236}">
              <a16:creationId xmlns:a16="http://schemas.microsoft.com/office/drawing/2014/main" id="{00000000-0008-0000-0A00-000071000000}"/>
            </a:ext>
          </a:extLst>
        </xdr:cNvPr>
        <xdr:cNvSpPr>
          <a:spLocks noChangeAspect="1" noChangeArrowheads="1"/>
        </xdr:cNvSpPr>
      </xdr:nvSpPr>
      <xdr:spPr bwMode="auto">
        <a:xfrm>
          <a:off x="0" y="2515552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214238</xdr:rowOff>
    </xdr:to>
    <xdr:sp macro="" textlink="">
      <xdr:nvSpPr>
        <xdr:cNvPr id="114" name="AutoShape 133" descr="+">
          <a:extLst>
            <a:ext uri="{FF2B5EF4-FFF2-40B4-BE49-F238E27FC236}">
              <a16:creationId xmlns:a16="http://schemas.microsoft.com/office/drawing/2014/main" id="{00000000-0008-0000-0A00-000072000000}"/>
            </a:ext>
          </a:extLst>
        </xdr:cNvPr>
        <xdr:cNvSpPr>
          <a:spLocks noChangeAspect="1" noChangeArrowheads="1"/>
        </xdr:cNvSpPr>
      </xdr:nvSpPr>
      <xdr:spPr bwMode="auto">
        <a:xfrm>
          <a:off x="0" y="2515552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214237</xdr:rowOff>
    </xdr:to>
    <xdr:sp macro="" textlink="">
      <xdr:nvSpPr>
        <xdr:cNvPr id="115" name="AutoShape 134" descr="+">
          <a:extLst>
            <a:ext uri="{FF2B5EF4-FFF2-40B4-BE49-F238E27FC236}">
              <a16:creationId xmlns:a16="http://schemas.microsoft.com/office/drawing/2014/main" id="{00000000-0008-0000-0A00-000073000000}"/>
            </a:ext>
          </a:extLst>
        </xdr:cNvPr>
        <xdr:cNvSpPr>
          <a:spLocks noChangeAspect="1" noChangeArrowheads="1"/>
        </xdr:cNvSpPr>
      </xdr:nvSpPr>
      <xdr:spPr bwMode="auto">
        <a:xfrm>
          <a:off x="0" y="25155525"/>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214238</xdr:rowOff>
    </xdr:to>
    <xdr:sp macro="" textlink="">
      <xdr:nvSpPr>
        <xdr:cNvPr id="116" name="AutoShape 135" descr="+">
          <a:extLst>
            <a:ext uri="{FF2B5EF4-FFF2-40B4-BE49-F238E27FC236}">
              <a16:creationId xmlns:a16="http://schemas.microsoft.com/office/drawing/2014/main" id="{00000000-0008-0000-0A00-000074000000}"/>
            </a:ext>
          </a:extLst>
        </xdr:cNvPr>
        <xdr:cNvSpPr>
          <a:spLocks noChangeAspect="1" noChangeArrowheads="1"/>
        </xdr:cNvSpPr>
      </xdr:nvSpPr>
      <xdr:spPr bwMode="auto">
        <a:xfrm>
          <a:off x="0" y="2515552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214238</xdr:rowOff>
    </xdr:to>
    <xdr:sp macro="" textlink="">
      <xdr:nvSpPr>
        <xdr:cNvPr id="117" name="AutoShape 136" descr="+">
          <a:extLst>
            <a:ext uri="{FF2B5EF4-FFF2-40B4-BE49-F238E27FC236}">
              <a16:creationId xmlns:a16="http://schemas.microsoft.com/office/drawing/2014/main" id="{00000000-0008-0000-0A00-000075000000}"/>
            </a:ext>
          </a:extLst>
        </xdr:cNvPr>
        <xdr:cNvSpPr>
          <a:spLocks noChangeAspect="1" noChangeArrowheads="1"/>
        </xdr:cNvSpPr>
      </xdr:nvSpPr>
      <xdr:spPr bwMode="auto">
        <a:xfrm>
          <a:off x="0" y="2515552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214239</xdr:rowOff>
    </xdr:to>
    <xdr:sp macro="" textlink="">
      <xdr:nvSpPr>
        <xdr:cNvPr id="118" name="AutoShape 137" descr="+">
          <a:extLst>
            <a:ext uri="{FF2B5EF4-FFF2-40B4-BE49-F238E27FC236}">
              <a16:creationId xmlns:a16="http://schemas.microsoft.com/office/drawing/2014/main" id="{00000000-0008-0000-0A00-000076000000}"/>
            </a:ext>
          </a:extLst>
        </xdr:cNvPr>
        <xdr:cNvSpPr>
          <a:spLocks noChangeAspect="1" noChangeArrowheads="1"/>
        </xdr:cNvSpPr>
      </xdr:nvSpPr>
      <xdr:spPr bwMode="auto">
        <a:xfrm>
          <a:off x="0" y="2515552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214238</xdr:rowOff>
    </xdr:to>
    <xdr:sp macro="" textlink="">
      <xdr:nvSpPr>
        <xdr:cNvPr id="119" name="AutoShape 138" descr="+">
          <a:extLst>
            <a:ext uri="{FF2B5EF4-FFF2-40B4-BE49-F238E27FC236}">
              <a16:creationId xmlns:a16="http://schemas.microsoft.com/office/drawing/2014/main" id="{00000000-0008-0000-0A00-000077000000}"/>
            </a:ext>
          </a:extLst>
        </xdr:cNvPr>
        <xdr:cNvSpPr>
          <a:spLocks noChangeAspect="1" noChangeArrowheads="1"/>
        </xdr:cNvSpPr>
      </xdr:nvSpPr>
      <xdr:spPr bwMode="auto">
        <a:xfrm>
          <a:off x="0" y="2515552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214236</xdr:rowOff>
    </xdr:to>
    <xdr:sp macro="" textlink="">
      <xdr:nvSpPr>
        <xdr:cNvPr id="120" name="AutoShape 139" descr="+">
          <a:extLst>
            <a:ext uri="{FF2B5EF4-FFF2-40B4-BE49-F238E27FC236}">
              <a16:creationId xmlns:a16="http://schemas.microsoft.com/office/drawing/2014/main" id="{00000000-0008-0000-0A00-000078000000}"/>
            </a:ext>
          </a:extLst>
        </xdr:cNvPr>
        <xdr:cNvSpPr>
          <a:spLocks noChangeAspect="1" noChangeArrowheads="1"/>
        </xdr:cNvSpPr>
      </xdr:nvSpPr>
      <xdr:spPr bwMode="auto">
        <a:xfrm>
          <a:off x="0" y="25155525"/>
          <a:ext cx="304800" cy="2105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175459</xdr:rowOff>
    </xdr:to>
    <xdr:sp macro="" textlink="">
      <xdr:nvSpPr>
        <xdr:cNvPr id="121" name="AutoShape 140" descr="+">
          <a:extLst>
            <a:ext uri="{FF2B5EF4-FFF2-40B4-BE49-F238E27FC236}">
              <a16:creationId xmlns:a16="http://schemas.microsoft.com/office/drawing/2014/main" id="{00000000-0008-0000-0A00-000079000000}"/>
            </a:ext>
          </a:extLst>
        </xdr:cNvPr>
        <xdr:cNvSpPr>
          <a:spLocks noChangeAspect="1" noChangeArrowheads="1"/>
        </xdr:cNvSpPr>
      </xdr:nvSpPr>
      <xdr:spPr bwMode="auto">
        <a:xfrm>
          <a:off x="0" y="25155525"/>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175457</xdr:rowOff>
    </xdr:to>
    <xdr:sp macro="" textlink="">
      <xdr:nvSpPr>
        <xdr:cNvPr id="122" name="AutoShape 141" descr="+">
          <a:extLst>
            <a:ext uri="{FF2B5EF4-FFF2-40B4-BE49-F238E27FC236}">
              <a16:creationId xmlns:a16="http://schemas.microsoft.com/office/drawing/2014/main" id="{00000000-0008-0000-0A00-00007A000000}"/>
            </a:ext>
          </a:extLst>
        </xdr:cNvPr>
        <xdr:cNvSpPr>
          <a:spLocks noChangeAspect="1" noChangeArrowheads="1"/>
        </xdr:cNvSpPr>
      </xdr:nvSpPr>
      <xdr:spPr bwMode="auto">
        <a:xfrm>
          <a:off x="0" y="25155525"/>
          <a:ext cx="304800" cy="17172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175458</xdr:rowOff>
    </xdr:to>
    <xdr:sp macro="" textlink="">
      <xdr:nvSpPr>
        <xdr:cNvPr id="123" name="AutoShape 142" descr="+">
          <a:extLst>
            <a:ext uri="{FF2B5EF4-FFF2-40B4-BE49-F238E27FC236}">
              <a16:creationId xmlns:a16="http://schemas.microsoft.com/office/drawing/2014/main" id="{00000000-0008-0000-0A00-00007B000000}"/>
            </a:ext>
          </a:extLst>
        </xdr:cNvPr>
        <xdr:cNvSpPr>
          <a:spLocks noChangeAspect="1" noChangeArrowheads="1"/>
        </xdr:cNvSpPr>
      </xdr:nvSpPr>
      <xdr:spPr bwMode="auto">
        <a:xfrm>
          <a:off x="0" y="25155525"/>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334786</xdr:rowOff>
    </xdr:to>
    <xdr:sp macro="" textlink="">
      <xdr:nvSpPr>
        <xdr:cNvPr id="124" name="AutoShape 143" descr="+">
          <a:extLst>
            <a:ext uri="{FF2B5EF4-FFF2-40B4-BE49-F238E27FC236}">
              <a16:creationId xmlns:a16="http://schemas.microsoft.com/office/drawing/2014/main" id="{00000000-0008-0000-0A00-00007C000000}"/>
            </a:ext>
          </a:extLst>
        </xdr:cNvPr>
        <xdr:cNvSpPr>
          <a:spLocks noChangeAspect="1" noChangeArrowheads="1"/>
        </xdr:cNvSpPr>
      </xdr:nvSpPr>
      <xdr:spPr bwMode="auto">
        <a:xfrm>
          <a:off x="0" y="25155525"/>
          <a:ext cx="304800" cy="32733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214237</xdr:rowOff>
    </xdr:to>
    <xdr:sp macro="" textlink="">
      <xdr:nvSpPr>
        <xdr:cNvPr id="125" name="AutoShape 144" descr="+">
          <a:extLst>
            <a:ext uri="{FF2B5EF4-FFF2-40B4-BE49-F238E27FC236}">
              <a16:creationId xmlns:a16="http://schemas.microsoft.com/office/drawing/2014/main" id="{00000000-0008-0000-0A00-00007D000000}"/>
            </a:ext>
          </a:extLst>
        </xdr:cNvPr>
        <xdr:cNvSpPr>
          <a:spLocks noChangeAspect="1" noChangeArrowheads="1"/>
        </xdr:cNvSpPr>
      </xdr:nvSpPr>
      <xdr:spPr bwMode="auto">
        <a:xfrm>
          <a:off x="0" y="25155525"/>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214238</xdr:rowOff>
    </xdr:to>
    <xdr:sp macro="" textlink="">
      <xdr:nvSpPr>
        <xdr:cNvPr id="126" name="AutoShape 145" descr="+">
          <a:extLst>
            <a:ext uri="{FF2B5EF4-FFF2-40B4-BE49-F238E27FC236}">
              <a16:creationId xmlns:a16="http://schemas.microsoft.com/office/drawing/2014/main" id="{00000000-0008-0000-0A00-00007E000000}"/>
            </a:ext>
          </a:extLst>
        </xdr:cNvPr>
        <xdr:cNvSpPr>
          <a:spLocks noChangeAspect="1" noChangeArrowheads="1"/>
        </xdr:cNvSpPr>
      </xdr:nvSpPr>
      <xdr:spPr bwMode="auto">
        <a:xfrm>
          <a:off x="0" y="2515552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214238</xdr:rowOff>
    </xdr:to>
    <xdr:sp macro="" textlink="">
      <xdr:nvSpPr>
        <xdr:cNvPr id="127" name="AutoShape 146" descr="+">
          <a:extLst>
            <a:ext uri="{FF2B5EF4-FFF2-40B4-BE49-F238E27FC236}">
              <a16:creationId xmlns:a16="http://schemas.microsoft.com/office/drawing/2014/main" id="{00000000-0008-0000-0A00-00007F000000}"/>
            </a:ext>
          </a:extLst>
        </xdr:cNvPr>
        <xdr:cNvSpPr>
          <a:spLocks noChangeAspect="1" noChangeArrowheads="1"/>
        </xdr:cNvSpPr>
      </xdr:nvSpPr>
      <xdr:spPr bwMode="auto">
        <a:xfrm>
          <a:off x="0" y="2515552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175457</xdr:rowOff>
    </xdr:to>
    <xdr:sp macro="" textlink="">
      <xdr:nvSpPr>
        <xdr:cNvPr id="128" name="AutoShape 147" descr="+">
          <a:extLst>
            <a:ext uri="{FF2B5EF4-FFF2-40B4-BE49-F238E27FC236}">
              <a16:creationId xmlns:a16="http://schemas.microsoft.com/office/drawing/2014/main" id="{00000000-0008-0000-0A00-000080000000}"/>
            </a:ext>
          </a:extLst>
        </xdr:cNvPr>
        <xdr:cNvSpPr>
          <a:spLocks noChangeAspect="1" noChangeArrowheads="1"/>
        </xdr:cNvSpPr>
      </xdr:nvSpPr>
      <xdr:spPr bwMode="auto">
        <a:xfrm>
          <a:off x="0" y="25155525"/>
          <a:ext cx="304800" cy="17172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185663</xdr:rowOff>
    </xdr:to>
    <xdr:sp macro="" textlink="">
      <xdr:nvSpPr>
        <xdr:cNvPr id="129" name="AutoShape 148" descr="+">
          <a:extLst>
            <a:ext uri="{FF2B5EF4-FFF2-40B4-BE49-F238E27FC236}">
              <a16:creationId xmlns:a16="http://schemas.microsoft.com/office/drawing/2014/main" id="{00000000-0008-0000-0A00-000081000000}"/>
            </a:ext>
          </a:extLst>
        </xdr:cNvPr>
        <xdr:cNvSpPr>
          <a:spLocks noChangeAspect="1" noChangeArrowheads="1"/>
        </xdr:cNvSpPr>
      </xdr:nvSpPr>
      <xdr:spPr bwMode="auto">
        <a:xfrm>
          <a:off x="0" y="25155525"/>
          <a:ext cx="304800" cy="18193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195187</xdr:rowOff>
    </xdr:to>
    <xdr:sp macro="" textlink="">
      <xdr:nvSpPr>
        <xdr:cNvPr id="130" name="AutoShape 149" descr="+">
          <a:extLst>
            <a:ext uri="{FF2B5EF4-FFF2-40B4-BE49-F238E27FC236}">
              <a16:creationId xmlns:a16="http://schemas.microsoft.com/office/drawing/2014/main" id="{00000000-0008-0000-0A00-000082000000}"/>
            </a:ext>
          </a:extLst>
        </xdr:cNvPr>
        <xdr:cNvSpPr>
          <a:spLocks noChangeAspect="1" noChangeArrowheads="1"/>
        </xdr:cNvSpPr>
      </xdr:nvSpPr>
      <xdr:spPr bwMode="auto">
        <a:xfrm>
          <a:off x="0" y="25155525"/>
          <a:ext cx="304800" cy="191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214237</xdr:rowOff>
    </xdr:to>
    <xdr:sp macro="" textlink="">
      <xdr:nvSpPr>
        <xdr:cNvPr id="131" name="AutoShape 150" descr="+">
          <a:extLst>
            <a:ext uri="{FF2B5EF4-FFF2-40B4-BE49-F238E27FC236}">
              <a16:creationId xmlns:a16="http://schemas.microsoft.com/office/drawing/2014/main" id="{00000000-0008-0000-0A00-000083000000}"/>
            </a:ext>
          </a:extLst>
        </xdr:cNvPr>
        <xdr:cNvSpPr>
          <a:spLocks noChangeAspect="1" noChangeArrowheads="1"/>
        </xdr:cNvSpPr>
      </xdr:nvSpPr>
      <xdr:spPr bwMode="auto">
        <a:xfrm>
          <a:off x="0" y="25155525"/>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214239</xdr:rowOff>
    </xdr:to>
    <xdr:sp macro="" textlink="">
      <xdr:nvSpPr>
        <xdr:cNvPr id="132" name="AutoShape 151" descr="+">
          <a:extLst>
            <a:ext uri="{FF2B5EF4-FFF2-40B4-BE49-F238E27FC236}">
              <a16:creationId xmlns:a16="http://schemas.microsoft.com/office/drawing/2014/main" id="{00000000-0008-0000-0A00-000084000000}"/>
            </a:ext>
          </a:extLst>
        </xdr:cNvPr>
        <xdr:cNvSpPr>
          <a:spLocks noChangeAspect="1" noChangeArrowheads="1"/>
        </xdr:cNvSpPr>
      </xdr:nvSpPr>
      <xdr:spPr bwMode="auto">
        <a:xfrm>
          <a:off x="0" y="2515552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214239</xdr:rowOff>
    </xdr:to>
    <xdr:sp macro="" textlink="">
      <xdr:nvSpPr>
        <xdr:cNvPr id="133" name="AutoShape 152" descr="+">
          <a:extLst>
            <a:ext uri="{FF2B5EF4-FFF2-40B4-BE49-F238E27FC236}">
              <a16:creationId xmlns:a16="http://schemas.microsoft.com/office/drawing/2014/main" id="{00000000-0008-0000-0A00-000085000000}"/>
            </a:ext>
          </a:extLst>
        </xdr:cNvPr>
        <xdr:cNvSpPr>
          <a:spLocks noChangeAspect="1" noChangeArrowheads="1"/>
        </xdr:cNvSpPr>
      </xdr:nvSpPr>
      <xdr:spPr bwMode="auto">
        <a:xfrm>
          <a:off x="0" y="2515552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308523</xdr:rowOff>
    </xdr:to>
    <xdr:sp macro="" textlink="">
      <xdr:nvSpPr>
        <xdr:cNvPr id="134" name="AutoShape 153" descr="+">
          <a:extLst>
            <a:ext uri="{FF2B5EF4-FFF2-40B4-BE49-F238E27FC236}">
              <a16:creationId xmlns:a16="http://schemas.microsoft.com/office/drawing/2014/main" id="{00000000-0008-0000-0A00-000086000000}"/>
            </a:ext>
          </a:extLst>
        </xdr:cNvPr>
        <xdr:cNvSpPr>
          <a:spLocks noChangeAspect="1" noChangeArrowheads="1"/>
        </xdr:cNvSpPr>
      </xdr:nvSpPr>
      <xdr:spPr bwMode="auto">
        <a:xfrm>
          <a:off x="0" y="25155525"/>
          <a:ext cx="304800" cy="3047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176137</xdr:rowOff>
    </xdr:to>
    <xdr:sp macro="" textlink="">
      <xdr:nvSpPr>
        <xdr:cNvPr id="135" name="AutoShape 154" descr="+">
          <a:extLst>
            <a:ext uri="{FF2B5EF4-FFF2-40B4-BE49-F238E27FC236}">
              <a16:creationId xmlns:a16="http://schemas.microsoft.com/office/drawing/2014/main" id="{00000000-0008-0000-0A00-000087000000}"/>
            </a:ext>
          </a:extLst>
        </xdr:cNvPr>
        <xdr:cNvSpPr>
          <a:spLocks noChangeAspect="1" noChangeArrowheads="1"/>
        </xdr:cNvSpPr>
      </xdr:nvSpPr>
      <xdr:spPr bwMode="auto">
        <a:xfrm>
          <a:off x="0" y="25155525"/>
          <a:ext cx="304800" cy="1724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214237</xdr:rowOff>
    </xdr:to>
    <xdr:sp macro="" textlink="">
      <xdr:nvSpPr>
        <xdr:cNvPr id="136" name="AutoShape 155" descr="+">
          <a:extLst>
            <a:ext uri="{FF2B5EF4-FFF2-40B4-BE49-F238E27FC236}">
              <a16:creationId xmlns:a16="http://schemas.microsoft.com/office/drawing/2014/main" id="{00000000-0008-0000-0A00-000088000000}"/>
            </a:ext>
          </a:extLst>
        </xdr:cNvPr>
        <xdr:cNvSpPr>
          <a:spLocks noChangeAspect="1" noChangeArrowheads="1"/>
        </xdr:cNvSpPr>
      </xdr:nvSpPr>
      <xdr:spPr bwMode="auto">
        <a:xfrm>
          <a:off x="0" y="25155525"/>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207837</xdr:rowOff>
    </xdr:to>
    <xdr:sp macro="" textlink="">
      <xdr:nvSpPr>
        <xdr:cNvPr id="137" name="AutoShape 156" descr="+">
          <a:extLst>
            <a:ext uri="{FF2B5EF4-FFF2-40B4-BE49-F238E27FC236}">
              <a16:creationId xmlns:a16="http://schemas.microsoft.com/office/drawing/2014/main" id="{00000000-0008-0000-0A00-000089000000}"/>
            </a:ext>
          </a:extLst>
        </xdr:cNvPr>
        <xdr:cNvSpPr>
          <a:spLocks noChangeAspect="1" noChangeArrowheads="1"/>
        </xdr:cNvSpPr>
      </xdr:nvSpPr>
      <xdr:spPr bwMode="auto">
        <a:xfrm>
          <a:off x="0" y="25155525"/>
          <a:ext cx="304800" cy="2041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207839</xdr:rowOff>
    </xdr:to>
    <xdr:sp macro="" textlink="">
      <xdr:nvSpPr>
        <xdr:cNvPr id="138" name="AutoShape 157" descr="+">
          <a:extLst>
            <a:ext uri="{FF2B5EF4-FFF2-40B4-BE49-F238E27FC236}">
              <a16:creationId xmlns:a16="http://schemas.microsoft.com/office/drawing/2014/main" id="{00000000-0008-0000-0A00-00008A000000}"/>
            </a:ext>
          </a:extLst>
        </xdr:cNvPr>
        <xdr:cNvSpPr>
          <a:spLocks noChangeAspect="1" noChangeArrowheads="1"/>
        </xdr:cNvSpPr>
      </xdr:nvSpPr>
      <xdr:spPr bwMode="auto">
        <a:xfrm>
          <a:off x="0" y="25155525"/>
          <a:ext cx="304800" cy="2041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175457</xdr:rowOff>
    </xdr:to>
    <xdr:sp macro="" textlink="">
      <xdr:nvSpPr>
        <xdr:cNvPr id="139" name="AutoShape 158" descr="+">
          <a:extLst>
            <a:ext uri="{FF2B5EF4-FFF2-40B4-BE49-F238E27FC236}">
              <a16:creationId xmlns:a16="http://schemas.microsoft.com/office/drawing/2014/main" id="{00000000-0008-0000-0A00-00008B000000}"/>
            </a:ext>
          </a:extLst>
        </xdr:cNvPr>
        <xdr:cNvSpPr>
          <a:spLocks noChangeAspect="1" noChangeArrowheads="1"/>
        </xdr:cNvSpPr>
      </xdr:nvSpPr>
      <xdr:spPr bwMode="auto">
        <a:xfrm>
          <a:off x="0" y="25155525"/>
          <a:ext cx="304800" cy="17172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175458</xdr:rowOff>
    </xdr:to>
    <xdr:sp macro="" textlink="">
      <xdr:nvSpPr>
        <xdr:cNvPr id="140" name="AutoShape 159" descr="+">
          <a:extLst>
            <a:ext uri="{FF2B5EF4-FFF2-40B4-BE49-F238E27FC236}">
              <a16:creationId xmlns:a16="http://schemas.microsoft.com/office/drawing/2014/main" id="{00000000-0008-0000-0A00-00008C000000}"/>
            </a:ext>
          </a:extLst>
        </xdr:cNvPr>
        <xdr:cNvSpPr>
          <a:spLocks noChangeAspect="1" noChangeArrowheads="1"/>
        </xdr:cNvSpPr>
      </xdr:nvSpPr>
      <xdr:spPr bwMode="auto">
        <a:xfrm>
          <a:off x="0" y="25155525"/>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190423</xdr:rowOff>
    </xdr:to>
    <xdr:sp macro="" textlink="">
      <xdr:nvSpPr>
        <xdr:cNvPr id="141" name="AutoShape 160" descr="+">
          <a:extLst>
            <a:ext uri="{FF2B5EF4-FFF2-40B4-BE49-F238E27FC236}">
              <a16:creationId xmlns:a16="http://schemas.microsoft.com/office/drawing/2014/main" id="{00000000-0008-0000-0A00-00008D000000}"/>
            </a:ext>
          </a:extLst>
        </xdr:cNvPr>
        <xdr:cNvSpPr>
          <a:spLocks noChangeAspect="1" noChangeArrowheads="1"/>
        </xdr:cNvSpPr>
      </xdr:nvSpPr>
      <xdr:spPr bwMode="auto">
        <a:xfrm>
          <a:off x="0" y="25155525"/>
          <a:ext cx="304800" cy="1866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175459</xdr:rowOff>
    </xdr:to>
    <xdr:sp macro="" textlink="">
      <xdr:nvSpPr>
        <xdr:cNvPr id="142" name="AutoShape 161" descr="+">
          <a:extLst>
            <a:ext uri="{FF2B5EF4-FFF2-40B4-BE49-F238E27FC236}">
              <a16:creationId xmlns:a16="http://schemas.microsoft.com/office/drawing/2014/main" id="{00000000-0008-0000-0A00-00008E000000}"/>
            </a:ext>
          </a:extLst>
        </xdr:cNvPr>
        <xdr:cNvSpPr>
          <a:spLocks noChangeAspect="1" noChangeArrowheads="1"/>
        </xdr:cNvSpPr>
      </xdr:nvSpPr>
      <xdr:spPr bwMode="auto">
        <a:xfrm>
          <a:off x="0" y="25155525"/>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214237</xdr:rowOff>
    </xdr:to>
    <xdr:sp macro="" textlink="">
      <xdr:nvSpPr>
        <xdr:cNvPr id="143" name="AutoShape 162" descr="+">
          <a:extLst>
            <a:ext uri="{FF2B5EF4-FFF2-40B4-BE49-F238E27FC236}">
              <a16:creationId xmlns:a16="http://schemas.microsoft.com/office/drawing/2014/main" id="{00000000-0008-0000-0A00-00008F000000}"/>
            </a:ext>
          </a:extLst>
        </xdr:cNvPr>
        <xdr:cNvSpPr>
          <a:spLocks noChangeAspect="1" noChangeArrowheads="1"/>
        </xdr:cNvSpPr>
      </xdr:nvSpPr>
      <xdr:spPr bwMode="auto">
        <a:xfrm>
          <a:off x="0" y="25155525"/>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214239</xdr:rowOff>
    </xdr:to>
    <xdr:sp macro="" textlink="">
      <xdr:nvSpPr>
        <xdr:cNvPr id="144" name="AutoShape 163" descr="+">
          <a:extLst>
            <a:ext uri="{FF2B5EF4-FFF2-40B4-BE49-F238E27FC236}">
              <a16:creationId xmlns:a16="http://schemas.microsoft.com/office/drawing/2014/main" id="{00000000-0008-0000-0A00-000090000000}"/>
            </a:ext>
          </a:extLst>
        </xdr:cNvPr>
        <xdr:cNvSpPr>
          <a:spLocks noChangeAspect="1" noChangeArrowheads="1"/>
        </xdr:cNvSpPr>
      </xdr:nvSpPr>
      <xdr:spPr bwMode="auto">
        <a:xfrm>
          <a:off x="0" y="2515552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195187</xdr:rowOff>
    </xdr:to>
    <xdr:sp macro="" textlink="">
      <xdr:nvSpPr>
        <xdr:cNvPr id="145" name="AutoShape 164" descr="+">
          <a:extLst>
            <a:ext uri="{FF2B5EF4-FFF2-40B4-BE49-F238E27FC236}">
              <a16:creationId xmlns:a16="http://schemas.microsoft.com/office/drawing/2014/main" id="{00000000-0008-0000-0A00-000091000000}"/>
            </a:ext>
          </a:extLst>
        </xdr:cNvPr>
        <xdr:cNvSpPr>
          <a:spLocks noChangeAspect="1" noChangeArrowheads="1"/>
        </xdr:cNvSpPr>
      </xdr:nvSpPr>
      <xdr:spPr bwMode="auto">
        <a:xfrm>
          <a:off x="0" y="25155525"/>
          <a:ext cx="304800" cy="191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214237</xdr:rowOff>
    </xdr:to>
    <xdr:sp macro="" textlink="">
      <xdr:nvSpPr>
        <xdr:cNvPr id="146" name="AutoShape 165" descr="+">
          <a:extLst>
            <a:ext uri="{FF2B5EF4-FFF2-40B4-BE49-F238E27FC236}">
              <a16:creationId xmlns:a16="http://schemas.microsoft.com/office/drawing/2014/main" id="{00000000-0008-0000-0A00-000092000000}"/>
            </a:ext>
          </a:extLst>
        </xdr:cNvPr>
        <xdr:cNvSpPr>
          <a:spLocks noChangeAspect="1" noChangeArrowheads="1"/>
        </xdr:cNvSpPr>
      </xdr:nvSpPr>
      <xdr:spPr bwMode="auto">
        <a:xfrm>
          <a:off x="0" y="25155525"/>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214237</xdr:rowOff>
    </xdr:to>
    <xdr:sp macro="" textlink="">
      <xdr:nvSpPr>
        <xdr:cNvPr id="147" name="AutoShape 166" descr="+">
          <a:extLst>
            <a:ext uri="{FF2B5EF4-FFF2-40B4-BE49-F238E27FC236}">
              <a16:creationId xmlns:a16="http://schemas.microsoft.com/office/drawing/2014/main" id="{00000000-0008-0000-0A00-000093000000}"/>
            </a:ext>
          </a:extLst>
        </xdr:cNvPr>
        <xdr:cNvSpPr>
          <a:spLocks noChangeAspect="1" noChangeArrowheads="1"/>
        </xdr:cNvSpPr>
      </xdr:nvSpPr>
      <xdr:spPr bwMode="auto">
        <a:xfrm>
          <a:off x="0" y="25155525"/>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214240</xdr:rowOff>
    </xdr:to>
    <xdr:sp macro="" textlink="">
      <xdr:nvSpPr>
        <xdr:cNvPr id="148" name="AutoShape 167" descr="+">
          <a:extLst>
            <a:ext uri="{FF2B5EF4-FFF2-40B4-BE49-F238E27FC236}">
              <a16:creationId xmlns:a16="http://schemas.microsoft.com/office/drawing/2014/main" id="{00000000-0008-0000-0A00-000094000000}"/>
            </a:ext>
          </a:extLst>
        </xdr:cNvPr>
        <xdr:cNvSpPr>
          <a:spLocks noChangeAspect="1" noChangeArrowheads="1"/>
        </xdr:cNvSpPr>
      </xdr:nvSpPr>
      <xdr:spPr bwMode="auto">
        <a:xfrm>
          <a:off x="0" y="25155525"/>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312612</xdr:rowOff>
    </xdr:to>
    <xdr:sp macro="" textlink="">
      <xdr:nvSpPr>
        <xdr:cNvPr id="149" name="AutoShape 168" descr="+">
          <a:extLst>
            <a:ext uri="{FF2B5EF4-FFF2-40B4-BE49-F238E27FC236}">
              <a16:creationId xmlns:a16="http://schemas.microsoft.com/office/drawing/2014/main" id="{00000000-0008-0000-0A00-000095000000}"/>
            </a:ext>
          </a:extLst>
        </xdr:cNvPr>
        <xdr:cNvSpPr>
          <a:spLocks noChangeAspect="1" noChangeArrowheads="1"/>
        </xdr:cNvSpPr>
      </xdr:nvSpPr>
      <xdr:spPr bwMode="auto">
        <a:xfrm>
          <a:off x="0" y="25155525"/>
          <a:ext cx="304800" cy="3088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179260</xdr:rowOff>
    </xdr:to>
    <xdr:sp macro="" textlink="">
      <xdr:nvSpPr>
        <xdr:cNvPr id="150" name="AutoShape 169" descr="+">
          <a:extLst>
            <a:ext uri="{FF2B5EF4-FFF2-40B4-BE49-F238E27FC236}">
              <a16:creationId xmlns:a16="http://schemas.microsoft.com/office/drawing/2014/main" id="{00000000-0008-0000-0A00-000096000000}"/>
            </a:ext>
          </a:extLst>
        </xdr:cNvPr>
        <xdr:cNvSpPr>
          <a:spLocks noChangeAspect="1" noChangeArrowheads="1"/>
        </xdr:cNvSpPr>
      </xdr:nvSpPr>
      <xdr:spPr bwMode="auto">
        <a:xfrm>
          <a:off x="0" y="25155525"/>
          <a:ext cx="304800" cy="17553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207833</xdr:rowOff>
    </xdr:to>
    <xdr:sp macro="" textlink="">
      <xdr:nvSpPr>
        <xdr:cNvPr id="151" name="AutoShape 170" descr="+">
          <a:extLst>
            <a:ext uri="{FF2B5EF4-FFF2-40B4-BE49-F238E27FC236}">
              <a16:creationId xmlns:a16="http://schemas.microsoft.com/office/drawing/2014/main" id="{00000000-0008-0000-0A00-000097000000}"/>
            </a:ext>
          </a:extLst>
        </xdr:cNvPr>
        <xdr:cNvSpPr>
          <a:spLocks noChangeAspect="1" noChangeArrowheads="1"/>
        </xdr:cNvSpPr>
      </xdr:nvSpPr>
      <xdr:spPr bwMode="auto">
        <a:xfrm>
          <a:off x="0" y="25155525"/>
          <a:ext cx="304800" cy="20410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312610</xdr:rowOff>
    </xdr:to>
    <xdr:sp macro="" textlink="">
      <xdr:nvSpPr>
        <xdr:cNvPr id="152" name="AutoShape 171" descr="+">
          <a:extLst>
            <a:ext uri="{FF2B5EF4-FFF2-40B4-BE49-F238E27FC236}">
              <a16:creationId xmlns:a16="http://schemas.microsoft.com/office/drawing/2014/main" id="{00000000-0008-0000-0A00-000098000000}"/>
            </a:ext>
          </a:extLst>
        </xdr:cNvPr>
        <xdr:cNvSpPr>
          <a:spLocks noChangeAspect="1" noChangeArrowheads="1"/>
        </xdr:cNvSpPr>
      </xdr:nvSpPr>
      <xdr:spPr bwMode="auto">
        <a:xfrm>
          <a:off x="0" y="25155525"/>
          <a:ext cx="304800" cy="308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207835</xdr:rowOff>
    </xdr:to>
    <xdr:sp macro="" textlink="">
      <xdr:nvSpPr>
        <xdr:cNvPr id="153" name="AutoShape 172" descr="+">
          <a:extLst>
            <a:ext uri="{FF2B5EF4-FFF2-40B4-BE49-F238E27FC236}">
              <a16:creationId xmlns:a16="http://schemas.microsoft.com/office/drawing/2014/main" id="{00000000-0008-0000-0A00-000099000000}"/>
            </a:ext>
          </a:extLst>
        </xdr:cNvPr>
        <xdr:cNvSpPr>
          <a:spLocks noChangeAspect="1" noChangeArrowheads="1"/>
        </xdr:cNvSpPr>
      </xdr:nvSpPr>
      <xdr:spPr bwMode="auto">
        <a:xfrm>
          <a:off x="0" y="25155525"/>
          <a:ext cx="304800" cy="2041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175457</xdr:rowOff>
    </xdr:to>
    <xdr:sp macro="" textlink="">
      <xdr:nvSpPr>
        <xdr:cNvPr id="154" name="AutoShape 173" descr="+">
          <a:extLst>
            <a:ext uri="{FF2B5EF4-FFF2-40B4-BE49-F238E27FC236}">
              <a16:creationId xmlns:a16="http://schemas.microsoft.com/office/drawing/2014/main" id="{00000000-0008-0000-0A00-00009A000000}"/>
            </a:ext>
          </a:extLst>
        </xdr:cNvPr>
        <xdr:cNvSpPr>
          <a:spLocks noChangeAspect="1" noChangeArrowheads="1"/>
        </xdr:cNvSpPr>
      </xdr:nvSpPr>
      <xdr:spPr bwMode="auto">
        <a:xfrm>
          <a:off x="0" y="25155525"/>
          <a:ext cx="304800" cy="17172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176858</xdr:rowOff>
    </xdr:to>
    <xdr:sp macro="" textlink="">
      <xdr:nvSpPr>
        <xdr:cNvPr id="155" name="AutoShape 174" descr="+">
          <a:extLst>
            <a:ext uri="{FF2B5EF4-FFF2-40B4-BE49-F238E27FC236}">
              <a16:creationId xmlns:a16="http://schemas.microsoft.com/office/drawing/2014/main" id="{00000000-0008-0000-0A00-00009B000000}"/>
            </a:ext>
          </a:extLst>
        </xdr:cNvPr>
        <xdr:cNvSpPr>
          <a:spLocks noChangeAspect="1" noChangeArrowheads="1"/>
        </xdr:cNvSpPr>
      </xdr:nvSpPr>
      <xdr:spPr bwMode="auto">
        <a:xfrm>
          <a:off x="0" y="25155525"/>
          <a:ext cx="304800" cy="1731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175457</xdr:rowOff>
    </xdr:to>
    <xdr:sp macro="" textlink="">
      <xdr:nvSpPr>
        <xdr:cNvPr id="156" name="AutoShape 175" descr="+">
          <a:extLst>
            <a:ext uri="{FF2B5EF4-FFF2-40B4-BE49-F238E27FC236}">
              <a16:creationId xmlns:a16="http://schemas.microsoft.com/office/drawing/2014/main" id="{00000000-0008-0000-0A00-00009C000000}"/>
            </a:ext>
          </a:extLst>
        </xdr:cNvPr>
        <xdr:cNvSpPr>
          <a:spLocks noChangeAspect="1" noChangeArrowheads="1"/>
        </xdr:cNvSpPr>
      </xdr:nvSpPr>
      <xdr:spPr bwMode="auto">
        <a:xfrm>
          <a:off x="0" y="25155525"/>
          <a:ext cx="304800" cy="17172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214236</xdr:rowOff>
    </xdr:to>
    <xdr:sp macro="" textlink="">
      <xdr:nvSpPr>
        <xdr:cNvPr id="157" name="AutoShape 176" descr="+">
          <a:extLst>
            <a:ext uri="{FF2B5EF4-FFF2-40B4-BE49-F238E27FC236}">
              <a16:creationId xmlns:a16="http://schemas.microsoft.com/office/drawing/2014/main" id="{00000000-0008-0000-0A00-00009D000000}"/>
            </a:ext>
          </a:extLst>
        </xdr:cNvPr>
        <xdr:cNvSpPr>
          <a:spLocks noChangeAspect="1" noChangeArrowheads="1"/>
        </xdr:cNvSpPr>
      </xdr:nvSpPr>
      <xdr:spPr bwMode="auto">
        <a:xfrm>
          <a:off x="0" y="25155525"/>
          <a:ext cx="304800" cy="2105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214239</xdr:rowOff>
    </xdr:to>
    <xdr:sp macro="" textlink="">
      <xdr:nvSpPr>
        <xdr:cNvPr id="158" name="AutoShape 177" descr="+">
          <a:extLst>
            <a:ext uri="{FF2B5EF4-FFF2-40B4-BE49-F238E27FC236}">
              <a16:creationId xmlns:a16="http://schemas.microsoft.com/office/drawing/2014/main" id="{00000000-0008-0000-0A00-00009E000000}"/>
            </a:ext>
          </a:extLst>
        </xdr:cNvPr>
        <xdr:cNvSpPr>
          <a:spLocks noChangeAspect="1" noChangeArrowheads="1"/>
        </xdr:cNvSpPr>
      </xdr:nvSpPr>
      <xdr:spPr bwMode="auto">
        <a:xfrm>
          <a:off x="0" y="2515552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214239</xdr:rowOff>
    </xdr:to>
    <xdr:sp macro="" textlink="">
      <xdr:nvSpPr>
        <xdr:cNvPr id="159" name="AutoShape 178" descr="+">
          <a:extLst>
            <a:ext uri="{FF2B5EF4-FFF2-40B4-BE49-F238E27FC236}">
              <a16:creationId xmlns:a16="http://schemas.microsoft.com/office/drawing/2014/main" id="{00000000-0008-0000-0A00-00009F000000}"/>
            </a:ext>
          </a:extLst>
        </xdr:cNvPr>
        <xdr:cNvSpPr>
          <a:spLocks noChangeAspect="1" noChangeArrowheads="1"/>
        </xdr:cNvSpPr>
      </xdr:nvSpPr>
      <xdr:spPr bwMode="auto">
        <a:xfrm>
          <a:off x="0" y="2515552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175457</xdr:rowOff>
    </xdr:to>
    <xdr:sp macro="" textlink="">
      <xdr:nvSpPr>
        <xdr:cNvPr id="160" name="AutoShape 179" descr="+">
          <a:extLst>
            <a:ext uri="{FF2B5EF4-FFF2-40B4-BE49-F238E27FC236}">
              <a16:creationId xmlns:a16="http://schemas.microsoft.com/office/drawing/2014/main" id="{00000000-0008-0000-0A00-0000A0000000}"/>
            </a:ext>
          </a:extLst>
        </xdr:cNvPr>
        <xdr:cNvSpPr>
          <a:spLocks noChangeAspect="1" noChangeArrowheads="1"/>
        </xdr:cNvSpPr>
      </xdr:nvSpPr>
      <xdr:spPr bwMode="auto">
        <a:xfrm>
          <a:off x="0" y="25155525"/>
          <a:ext cx="304800" cy="17172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195189</xdr:rowOff>
    </xdr:to>
    <xdr:sp macro="" textlink="">
      <xdr:nvSpPr>
        <xdr:cNvPr id="161" name="AutoShape 180" descr="+">
          <a:extLst>
            <a:ext uri="{FF2B5EF4-FFF2-40B4-BE49-F238E27FC236}">
              <a16:creationId xmlns:a16="http://schemas.microsoft.com/office/drawing/2014/main" id="{00000000-0008-0000-0A00-0000A1000000}"/>
            </a:ext>
          </a:extLst>
        </xdr:cNvPr>
        <xdr:cNvSpPr>
          <a:spLocks noChangeAspect="1" noChangeArrowheads="1"/>
        </xdr:cNvSpPr>
      </xdr:nvSpPr>
      <xdr:spPr bwMode="auto">
        <a:xfrm>
          <a:off x="0" y="25155525"/>
          <a:ext cx="304800" cy="19146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214235</xdr:rowOff>
    </xdr:to>
    <xdr:sp macro="" textlink="">
      <xdr:nvSpPr>
        <xdr:cNvPr id="162" name="AutoShape 181" descr="+">
          <a:extLst>
            <a:ext uri="{FF2B5EF4-FFF2-40B4-BE49-F238E27FC236}">
              <a16:creationId xmlns:a16="http://schemas.microsoft.com/office/drawing/2014/main" id="{00000000-0008-0000-0A00-0000A2000000}"/>
            </a:ext>
          </a:extLst>
        </xdr:cNvPr>
        <xdr:cNvSpPr>
          <a:spLocks noChangeAspect="1" noChangeArrowheads="1"/>
        </xdr:cNvSpPr>
      </xdr:nvSpPr>
      <xdr:spPr bwMode="auto">
        <a:xfrm>
          <a:off x="0" y="25155525"/>
          <a:ext cx="304800" cy="2105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313643</xdr:rowOff>
    </xdr:to>
    <xdr:sp macro="" textlink="">
      <xdr:nvSpPr>
        <xdr:cNvPr id="163" name="AutoShape 182" descr="+">
          <a:extLst>
            <a:ext uri="{FF2B5EF4-FFF2-40B4-BE49-F238E27FC236}">
              <a16:creationId xmlns:a16="http://schemas.microsoft.com/office/drawing/2014/main" id="{00000000-0008-0000-0A00-0000A3000000}"/>
            </a:ext>
          </a:extLst>
        </xdr:cNvPr>
        <xdr:cNvSpPr>
          <a:spLocks noChangeAspect="1" noChangeArrowheads="1"/>
        </xdr:cNvSpPr>
      </xdr:nvSpPr>
      <xdr:spPr bwMode="auto">
        <a:xfrm>
          <a:off x="0" y="25155525"/>
          <a:ext cx="304800" cy="3099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214239</xdr:rowOff>
    </xdr:to>
    <xdr:sp macro="" textlink="">
      <xdr:nvSpPr>
        <xdr:cNvPr id="164" name="AutoShape 183" descr="+">
          <a:extLst>
            <a:ext uri="{FF2B5EF4-FFF2-40B4-BE49-F238E27FC236}">
              <a16:creationId xmlns:a16="http://schemas.microsoft.com/office/drawing/2014/main" id="{00000000-0008-0000-0A00-0000A4000000}"/>
            </a:ext>
          </a:extLst>
        </xdr:cNvPr>
        <xdr:cNvSpPr>
          <a:spLocks noChangeAspect="1" noChangeArrowheads="1"/>
        </xdr:cNvSpPr>
      </xdr:nvSpPr>
      <xdr:spPr bwMode="auto">
        <a:xfrm>
          <a:off x="0" y="2515552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214239</xdr:rowOff>
    </xdr:to>
    <xdr:sp macro="" textlink="">
      <xdr:nvSpPr>
        <xdr:cNvPr id="165" name="AutoShape 184" descr="+">
          <a:extLst>
            <a:ext uri="{FF2B5EF4-FFF2-40B4-BE49-F238E27FC236}">
              <a16:creationId xmlns:a16="http://schemas.microsoft.com/office/drawing/2014/main" id="{00000000-0008-0000-0A00-0000A5000000}"/>
            </a:ext>
          </a:extLst>
        </xdr:cNvPr>
        <xdr:cNvSpPr>
          <a:spLocks noChangeAspect="1" noChangeArrowheads="1"/>
        </xdr:cNvSpPr>
      </xdr:nvSpPr>
      <xdr:spPr bwMode="auto">
        <a:xfrm>
          <a:off x="0" y="2515552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207836</xdr:rowOff>
    </xdr:to>
    <xdr:sp macro="" textlink="">
      <xdr:nvSpPr>
        <xdr:cNvPr id="166" name="AutoShape 185" descr="+">
          <a:extLst>
            <a:ext uri="{FF2B5EF4-FFF2-40B4-BE49-F238E27FC236}">
              <a16:creationId xmlns:a16="http://schemas.microsoft.com/office/drawing/2014/main" id="{00000000-0008-0000-0A00-0000A6000000}"/>
            </a:ext>
          </a:extLst>
        </xdr:cNvPr>
        <xdr:cNvSpPr>
          <a:spLocks noChangeAspect="1" noChangeArrowheads="1"/>
        </xdr:cNvSpPr>
      </xdr:nvSpPr>
      <xdr:spPr bwMode="auto">
        <a:xfrm>
          <a:off x="0" y="25155525"/>
          <a:ext cx="304800" cy="2041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180219</xdr:rowOff>
    </xdr:to>
    <xdr:sp macro="" textlink="">
      <xdr:nvSpPr>
        <xdr:cNvPr id="167" name="AutoShape 186" descr="+">
          <a:extLst>
            <a:ext uri="{FF2B5EF4-FFF2-40B4-BE49-F238E27FC236}">
              <a16:creationId xmlns:a16="http://schemas.microsoft.com/office/drawing/2014/main" id="{00000000-0008-0000-0A00-0000A7000000}"/>
            </a:ext>
          </a:extLst>
        </xdr:cNvPr>
        <xdr:cNvSpPr>
          <a:spLocks noChangeAspect="1" noChangeArrowheads="1"/>
        </xdr:cNvSpPr>
      </xdr:nvSpPr>
      <xdr:spPr bwMode="auto">
        <a:xfrm>
          <a:off x="0" y="25155525"/>
          <a:ext cx="304800" cy="17649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175458</xdr:rowOff>
    </xdr:to>
    <xdr:sp macro="" textlink="">
      <xdr:nvSpPr>
        <xdr:cNvPr id="168" name="AutoShape 187" descr="+">
          <a:extLst>
            <a:ext uri="{FF2B5EF4-FFF2-40B4-BE49-F238E27FC236}">
              <a16:creationId xmlns:a16="http://schemas.microsoft.com/office/drawing/2014/main" id="{00000000-0008-0000-0A00-0000A8000000}"/>
            </a:ext>
          </a:extLst>
        </xdr:cNvPr>
        <xdr:cNvSpPr>
          <a:spLocks noChangeAspect="1" noChangeArrowheads="1"/>
        </xdr:cNvSpPr>
      </xdr:nvSpPr>
      <xdr:spPr bwMode="auto">
        <a:xfrm>
          <a:off x="0" y="25155525"/>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214240</xdr:rowOff>
    </xdr:to>
    <xdr:sp macro="" textlink="">
      <xdr:nvSpPr>
        <xdr:cNvPr id="169" name="AutoShape 188" descr="+">
          <a:extLst>
            <a:ext uri="{FF2B5EF4-FFF2-40B4-BE49-F238E27FC236}">
              <a16:creationId xmlns:a16="http://schemas.microsoft.com/office/drawing/2014/main" id="{00000000-0008-0000-0A00-0000A9000000}"/>
            </a:ext>
          </a:extLst>
        </xdr:cNvPr>
        <xdr:cNvSpPr>
          <a:spLocks noChangeAspect="1" noChangeArrowheads="1"/>
        </xdr:cNvSpPr>
      </xdr:nvSpPr>
      <xdr:spPr bwMode="auto">
        <a:xfrm>
          <a:off x="0" y="25155525"/>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214238</xdr:rowOff>
    </xdr:to>
    <xdr:sp macro="" textlink="">
      <xdr:nvSpPr>
        <xdr:cNvPr id="170" name="AutoShape 189" descr="+">
          <a:extLst>
            <a:ext uri="{FF2B5EF4-FFF2-40B4-BE49-F238E27FC236}">
              <a16:creationId xmlns:a16="http://schemas.microsoft.com/office/drawing/2014/main" id="{00000000-0008-0000-0A00-0000AA000000}"/>
            </a:ext>
          </a:extLst>
        </xdr:cNvPr>
        <xdr:cNvSpPr>
          <a:spLocks noChangeAspect="1" noChangeArrowheads="1"/>
        </xdr:cNvSpPr>
      </xdr:nvSpPr>
      <xdr:spPr bwMode="auto">
        <a:xfrm>
          <a:off x="0" y="2515552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176136</xdr:rowOff>
    </xdr:to>
    <xdr:sp macro="" textlink="">
      <xdr:nvSpPr>
        <xdr:cNvPr id="171" name="AutoShape 190" descr="+">
          <a:extLst>
            <a:ext uri="{FF2B5EF4-FFF2-40B4-BE49-F238E27FC236}">
              <a16:creationId xmlns:a16="http://schemas.microsoft.com/office/drawing/2014/main" id="{00000000-0008-0000-0A00-0000AB000000}"/>
            </a:ext>
          </a:extLst>
        </xdr:cNvPr>
        <xdr:cNvSpPr>
          <a:spLocks noChangeAspect="1" noChangeArrowheads="1"/>
        </xdr:cNvSpPr>
      </xdr:nvSpPr>
      <xdr:spPr bwMode="auto">
        <a:xfrm>
          <a:off x="0" y="25155525"/>
          <a:ext cx="304800" cy="1724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214238</xdr:rowOff>
    </xdr:to>
    <xdr:sp macro="" textlink="">
      <xdr:nvSpPr>
        <xdr:cNvPr id="172" name="AutoShape 191" descr="+">
          <a:extLst>
            <a:ext uri="{FF2B5EF4-FFF2-40B4-BE49-F238E27FC236}">
              <a16:creationId xmlns:a16="http://schemas.microsoft.com/office/drawing/2014/main" id="{00000000-0008-0000-0A00-0000AC000000}"/>
            </a:ext>
          </a:extLst>
        </xdr:cNvPr>
        <xdr:cNvSpPr>
          <a:spLocks noChangeAspect="1" noChangeArrowheads="1"/>
        </xdr:cNvSpPr>
      </xdr:nvSpPr>
      <xdr:spPr bwMode="auto">
        <a:xfrm>
          <a:off x="0" y="2515552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180219</xdr:rowOff>
    </xdr:to>
    <xdr:sp macro="" textlink="">
      <xdr:nvSpPr>
        <xdr:cNvPr id="173" name="AutoShape 192" descr="+">
          <a:extLst>
            <a:ext uri="{FF2B5EF4-FFF2-40B4-BE49-F238E27FC236}">
              <a16:creationId xmlns:a16="http://schemas.microsoft.com/office/drawing/2014/main" id="{00000000-0008-0000-0A00-0000AD000000}"/>
            </a:ext>
          </a:extLst>
        </xdr:cNvPr>
        <xdr:cNvSpPr>
          <a:spLocks noChangeAspect="1" noChangeArrowheads="1"/>
        </xdr:cNvSpPr>
      </xdr:nvSpPr>
      <xdr:spPr bwMode="auto">
        <a:xfrm>
          <a:off x="0" y="25155525"/>
          <a:ext cx="304800" cy="17649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214239</xdr:rowOff>
    </xdr:to>
    <xdr:sp macro="" textlink="">
      <xdr:nvSpPr>
        <xdr:cNvPr id="174" name="AutoShape 193" descr="+">
          <a:extLst>
            <a:ext uri="{FF2B5EF4-FFF2-40B4-BE49-F238E27FC236}">
              <a16:creationId xmlns:a16="http://schemas.microsoft.com/office/drawing/2014/main" id="{00000000-0008-0000-0A00-0000AE000000}"/>
            </a:ext>
          </a:extLst>
        </xdr:cNvPr>
        <xdr:cNvSpPr>
          <a:spLocks noChangeAspect="1" noChangeArrowheads="1"/>
        </xdr:cNvSpPr>
      </xdr:nvSpPr>
      <xdr:spPr bwMode="auto">
        <a:xfrm>
          <a:off x="0" y="2515552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214239</xdr:rowOff>
    </xdr:to>
    <xdr:sp macro="" textlink="">
      <xdr:nvSpPr>
        <xdr:cNvPr id="175" name="AutoShape 194" descr="+">
          <a:extLst>
            <a:ext uri="{FF2B5EF4-FFF2-40B4-BE49-F238E27FC236}">
              <a16:creationId xmlns:a16="http://schemas.microsoft.com/office/drawing/2014/main" id="{00000000-0008-0000-0A00-0000AF000000}"/>
            </a:ext>
          </a:extLst>
        </xdr:cNvPr>
        <xdr:cNvSpPr>
          <a:spLocks noChangeAspect="1" noChangeArrowheads="1"/>
        </xdr:cNvSpPr>
      </xdr:nvSpPr>
      <xdr:spPr bwMode="auto">
        <a:xfrm>
          <a:off x="0" y="2515552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185663</xdr:rowOff>
    </xdr:to>
    <xdr:sp macro="" textlink="">
      <xdr:nvSpPr>
        <xdr:cNvPr id="176" name="AutoShape 195" descr="+">
          <a:extLst>
            <a:ext uri="{FF2B5EF4-FFF2-40B4-BE49-F238E27FC236}">
              <a16:creationId xmlns:a16="http://schemas.microsoft.com/office/drawing/2014/main" id="{00000000-0008-0000-0A00-0000B0000000}"/>
            </a:ext>
          </a:extLst>
        </xdr:cNvPr>
        <xdr:cNvSpPr>
          <a:spLocks noChangeAspect="1" noChangeArrowheads="1"/>
        </xdr:cNvSpPr>
      </xdr:nvSpPr>
      <xdr:spPr bwMode="auto">
        <a:xfrm>
          <a:off x="0" y="25155525"/>
          <a:ext cx="304800" cy="18193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204431</xdr:rowOff>
    </xdr:to>
    <xdr:sp macro="" textlink="">
      <xdr:nvSpPr>
        <xdr:cNvPr id="177" name="AutoShape 196" descr="+">
          <a:extLst>
            <a:ext uri="{FF2B5EF4-FFF2-40B4-BE49-F238E27FC236}">
              <a16:creationId xmlns:a16="http://schemas.microsoft.com/office/drawing/2014/main" id="{00000000-0008-0000-0A00-0000B1000000}"/>
            </a:ext>
          </a:extLst>
        </xdr:cNvPr>
        <xdr:cNvSpPr>
          <a:spLocks noChangeAspect="1" noChangeArrowheads="1"/>
        </xdr:cNvSpPr>
      </xdr:nvSpPr>
      <xdr:spPr bwMode="auto">
        <a:xfrm>
          <a:off x="0" y="25155525"/>
          <a:ext cx="304800" cy="2007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308527</xdr:rowOff>
    </xdr:to>
    <xdr:sp macro="" textlink="">
      <xdr:nvSpPr>
        <xdr:cNvPr id="178" name="AutoShape 197" descr="+">
          <a:extLst>
            <a:ext uri="{FF2B5EF4-FFF2-40B4-BE49-F238E27FC236}">
              <a16:creationId xmlns:a16="http://schemas.microsoft.com/office/drawing/2014/main" id="{00000000-0008-0000-0A00-0000B2000000}"/>
            </a:ext>
          </a:extLst>
        </xdr:cNvPr>
        <xdr:cNvSpPr>
          <a:spLocks noChangeAspect="1" noChangeArrowheads="1"/>
        </xdr:cNvSpPr>
      </xdr:nvSpPr>
      <xdr:spPr bwMode="auto">
        <a:xfrm>
          <a:off x="0" y="251555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175457</xdr:rowOff>
    </xdr:to>
    <xdr:sp macro="" textlink="">
      <xdr:nvSpPr>
        <xdr:cNvPr id="179" name="AutoShape 198" descr="+">
          <a:extLst>
            <a:ext uri="{FF2B5EF4-FFF2-40B4-BE49-F238E27FC236}">
              <a16:creationId xmlns:a16="http://schemas.microsoft.com/office/drawing/2014/main" id="{00000000-0008-0000-0A00-0000B3000000}"/>
            </a:ext>
          </a:extLst>
        </xdr:cNvPr>
        <xdr:cNvSpPr>
          <a:spLocks noChangeAspect="1" noChangeArrowheads="1"/>
        </xdr:cNvSpPr>
      </xdr:nvSpPr>
      <xdr:spPr bwMode="auto">
        <a:xfrm>
          <a:off x="0" y="25155525"/>
          <a:ext cx="304800" cy="17172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175459</xdr:rowOff>
    </xdr:to>
    <xdr:sp macro="" textlink="">
      <xdr:nvSpPr>
        <xdr:cNvPr id="180" name="AutoShape 199" descr="+">
          <a:extLst>
            <a:ext uri="{FF2B5EF4-FFF2-40B4-BE49-F238E27FC236}">
              <a16:creationId xmlns:a16="http://schemas.microsoft.com/office/drawing/2014/main" id="{00000000-0008-0000-0A00-0000B4000000}"/>
            </a:ext>
          </a:extLst>
        </xdr:cNvPr>
        <xdr:cNvSpPr>
          <a:spLocks noChangeAspect="1" noChangeArrowheads="1"/>
        </xdr:cNvSpPr>
      </xdr:nvSpPr>
      <xdr:spPr bwMode="auto">
        <a:xfrm>
          <a:off x="0" y="25155525"/>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187197</xdr:rowOff>
    </xdr:to>
    <xdr:sp macro="" textlink="">
      <xdr:nvSpPr>
        <xdr:cNvPr id="181" name="AutoShape 200" descr="+">
          <a:extLst>
            <a:ext uri="{FF2B5EF4-FFF2-40B4-BE49-F238E27FC236}">
              <a16:creationId xmlns:a16="http://schemas.microsoft.com/office/drawing/2014/main" id="{00000000-0008-0000-0A00-0000B5000000}"/>
            </a:ext>
          </a:extLst>
        </xdr:cNvPr>
        <xdr:cNvSpPr>
          <a:spLocks noChangeAspect="1" noChangeArrowheads="1"/>
        </xdr:cNvSpPr>
      </xdr:nvSpPr>
      <xdr:spPr bwMode="auto">
        <a:xfrm>
          <a:off x="0" y="25155525"/>
          <a:ext cx="304800" cy="18346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175458</xdr:rowOff>
    </xdr:to>
    <xdr:sp macro="" textlink="">
      <xdr:nvSpPr>
        <xdr:cNvPr id="182" name="AutoShape 201" descr="+">
          <a:extLst>
            <a:ext uri="{FF2B5EF4-FFF2-40B4-BE49-F238E27FC236}">
              <a16:creationId xmlns:a16="http://schemas.microsoft.com/office/drawing/2014/main" id="{00000000-0008-0000-0A00-0000B6000000}"/>
            </a:ext>
          </a:extLst>
        </xdr:cNvPr>
        <xdr:cNvSpPr>
          <a:spLocks noChangeAspect="1" noChangeArrowheads="1"/>
        </xdr:cNvSpPr>
      </xdr:nvSpPr>
      <xdr:spPr bwMode="auto">
        <a:xfrm>
          <a:off x="0" y="25155525"/>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214239</xdr:rowOff>
    </xdr:to>
    <xdr:sp macro="" textlink="">
      <xdr:nvSpPr>
        <xdr:cNvPr id="183" name="AutoShape 202" descr="+">
          <a:extLst>
            <a:ext uri="{FF2B5EF4-FFF2-40B4-BE49-F238E27FC236}">
              <a16:creationId xmlns:a16="http://schemas.microsoft.com/office/drawing/2014/main" id="{00000000-0008-0000-0A00-0000B7000000}"/>
            </a:ext>
          </a:extLst>
        </xdr:cNvPr>
        <xdr:cNvSpPr>
          <a:spLocks noChangeAspect="1" noChangeArrowheads="1"/>
        </xdr:cNvSpPr>
      </xdr:nvSpPr>
      <xdr:spPr bwMode="auto">
        <a:xfrm>
          <a:off x="0" y="2515552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214237</xdr:rowOff>
    </xdr:to>
    <xdr:sp macro="" textlink="">
      <xdr:nvSpPr>
        <xdr:cNvPr id="184" name="AutoShape 203" descr="+">
          <a:extLst>
            <a:ext uri="{FF2B5EF4-FFF2-40B4-BE49-F238E27FC236}">
              <a16:creationId xmlns:a16="http://schemas.microsoft.com/office/drawing/2014/main" id="{00000000-0008-0000-0A00-0000B8000000}"/>
            </a:ext>
          </a:extLst>
        </xdr:cNvPr>
        <xdr:cNvSpPr>
          <a:spLocks noChangeAspect="1" noChangeArrowheads="1"/>
        </xdr:cNvSpPr>
      </xdr:nvSpPr>
      <xdr:spPr bwMode="auto">
        <a:xfrm>
          <a:off x="0" y="25155525"/>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214237</xdr:rowOff>
    </xdr:to>
    <xdr:sp macro="" textlink="">
      <xdr:nvSpPr>
        <xdr:cNvPr id="185" name="AutoShape 204" descr="+">
          <a:extLst>
            <a:ext uri="{FF2B5EF4-FFF2-40B4-BE49-F238E27FC236}">
              <a16:creationId xmlns:a16="http://schemas.microsoft.com/office/drawing/2014/main" id="{00000000-0008-0000-0A00-0000B9000000}"/>
            </a:ext>
          </a:extLst>
        </xdr:cNvPr>
        <xdr:cNvSpPr>
          <a:spLocks noChangeAspect="1" noChangeArrowheads="1"/>
        </xdr:cNvSpPr>
      </xdr:nvSpPr>
      <xdr:spPr bwMode="auto">
        <a:xfrm>
          <a:off x="0" y="25155525"/>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214239</xdr:rowOff>
    </xdr:to>
    <xdr:sp macro="" textlink="">
      <xdr:nvSpPr>
        <xdr:cNvPr id="186" name="AutoShape 205" descr="+">
          <a:extLst>
            <a:ext uri="{FF2B5EF4-FFF2-40B4-BE49-F238E27FC236}">
              <a16:creationId xmlns:a16="http://schemas.microsoft.com/office/drawing/2014/main" id="{00000000-0008-0000-0A00-0000BA000000}"/>
            </a:ext>
          </a:extLst>
        </xdr:cNvPr>
        <xdr:cNvSpPr>
          <a:spLocks noChangeAspect="1" noChangeArrowheads="1"/>
        </xdr:cNvSpPr>
      </xdr:nvSpPr>
      <xdr:spPr bwMode="auto">
        <a:xfrm>
          <a:off x="0" y="2515552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175457</xdr:rowOff>
    </xdr:to>
    <xdr:sp macro="" textlink="">
      <xdr:nvSpPr>
        <xdr:cNvPr id="187" name="AutoShape 206" descr="+">
          <a:extLst>
            <a:ext uri="{FF2B5EF4-FFF2-40B4-BE49-F238E27FC236}">
              <a16:creationId xmlns:a16="http://schemas.microsoft.com/office/drawing/2014/main" id="{00000000-0008-0000-0A00-0000BB000000}"/>
            </a:ext>
          </a:extLst>
        </xdr:cNvPr>
        <xdr:cNvSpPr>
          <a:spLocks noChangeAspect="1" noChangeArrowheads="1"/>
        </xdr:cNvSpPr>
      </xdr:nvSpPr>
      <xdr:spPr bwMode="auto">
        <a:xfrm>
          <a:off x="0" y="25155525"/>
          <a:ext cx="304800" cy="17172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185664</xdr:rowOff>
    </xdr:to>
    <xdr:sp macro="" textlink="">
      <xdr:nvSpPr>
        <xdr:cNvPr id="188" name="AutoShape 207" descr="+">
          <a:extLst>
            <a:ext uri="{FF2B5EF4-FFF2-40B4-BE49-F238E27FC236}">
              <a16:creationId xmlns:a16="http://schemas.microsoft.com/office/drawing/2014/main" id="{00000000-0008-0000-0A00-0000BC000000}"/>
            </a:ext>
          </a:extLst>
        </xdr:cNvPr>
        <xdr:cNvSpPr>
          <a:spLocks noChangeAspect="1" noChangeArrowheads="1"/>
        </xdr:cNvSpPr>
      </xdr:nvSpPr>
      <xdr:spPr bwMode="auto">
        <a:xfrm>
          <a:off x="0" y="25155525"/>
          <a:ext cx="304800" cy="18193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214238</xdr:rowOff>
    </xdr:to>
    <xdr:sp macro="" textlink="">
      <xdr:nvSpPr>
        <xdr:cNvPr id="189" name="AutoShape 208" descr="+">
          <a:extLst>
            <a:ext uri="{FF2B5EF4-FFF2-40B4-BE49-F238E27FC236}">
              <a16:creationId xmlns:a16="http://schemas.microsoft.com/office/drawing/2014/main" id="{00000000-0008-0000-0A00-0000BD000000}"/>
            </a:ext>
          </a:extLst>
        </xdr:cNvPr>
        <xdr:cNvSpPr>
          <a:spLocks noChangeAspect="1" noChangeArrowheads="1"/>
        </xdr:cNvSpPr>
      </xdr:nvSpPr>
      <xdr:spPr bwMode="auto">
        <a:xfrm>
          <a:off x="0" y="2515552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214236</xdr:rowOff>
    </xdr:to>
    <xdr:sp macro="" textlink="">
      <xdr:nvSpPr>
        <xdr:cNvPr id="190" name="AutoShape 209" descr="+">
          <a:extLst>
            <a:ext uri="{FF2B5EF4-FFF2-40B4-BE49-F238E27FC236}">
              <a16:creationId xmlns:a16="http://schemas.microsoft.com/office/drawing/2014/main" id="{00000000-0008-0000-0A00-0000BE000000}"/>
            </a:ext>
          </a:extLst>
        </xdr:cNvPr>
        <xdr:cNvSpPr>
          <a:spLocks noChangeAspect="1" noChangeArrowheads="1"/>
        </xdr:cNvSpPr>
      </xdr:nvSpPr>
      <xdr:spPr bwMode="auto">
        <a:xfrm>
          <a:off x="0" y="25155525"/>
          <a:ext cx="304800" cy="2105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195188</xdr:rowOff>
    </xdr:to>
    <xdr:sp macro="" textlink="">
      <xdr:nvSpPr>
        <xdr:cNvPr id="191" name="AutoShape 210" descr="+">
          <a:extLst>
            <a:ext uri="{FF2B5EF4-FFF2-40B4-BE49-F238E27FC236}">
              <a16:creationId xmlns:a16="http://schemas.microsoft.com/office/drawing/2014/main" id="{00000000-0008-0000-0A00-0000BF000000}"/>
            </a:ext>
          </a:extLst>
        </xdr:cNvPr>
        <xdr:cNvSpPr>
          <a:spLocks noChangeAspect="1" noChangeArrowheads="1"/>
        </xdr:cNvSpPr>
      </xdr:nvSpPr>
      <xdr:spPr bwMode="auto">
        <a:xfrm>
          <a:off x="0" y="25155525"/>
          <a:ext cx="304800" cy="1914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308527</xdr:rowOff>
    </xdr:to>
    <xdr:sp macro="" textlink="">
      <xdr:nvSpPr>
        <xdr:cNvPr id="192" name="AutoShape 211" descr="+">
          <a:extLst>
            <a:ext uri="{FF2B5EF4-FFF2-40B4-BE49-F238E27FC236}">
              <a16:creationId xmlns:a16="http://schemas.microsoft.com/office/drawing/2014/main" id="{00000000-0008-0000-0A00-0000C0000000}"/>
            </a:ext>
          </a:extLst>
        </xdr:cNvPr>
        <xdr:cNvSpPr>
          <a:spLocks noChangeAspect="1" noChangeArrowheads="1"/>
        </xdr:cNvSpPr>
      </xdr:nvSpPr>
      <xdr:spPr bwMode="auto">
        <a:xfrm>
          <a:off x="0" y="251555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280557</xdr:rowOff>
    </xdr:to>
    <xdr:sp macro="" textlink="">
      <xdr:nvSpPr>
        <xdr:cNvPr id="193" name="AutoShape 212" descr="+">
          <a:extLst>
            <a:ext uri="{FF2B5EF4-FFF2-40B4-BE49-F238E27FC236}">
              <a16:creationId xmlns:a16="http://schemas.microsoft.com/office/drawing/2014/main" id="{00000000-0008-0000-0A00-0000C1000000}"/>
            </a:ext>
          </a:extLst>
        </xdr:cNvPr>
        <xdr:cNvSpPr>
          <a:spLocks noChangeAspect="1" noChangeArrowheads="1"/>
        </xdr:cNvSpPr>
      </xdr:nvSpPr>
      <xdr:spPr bwMode="auto">
        <a:xfrm>
          <a:off x="0" y="25155525"/>
          <a:ext cx="304800" cy="27682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176858</xdr:rowOff>
    </xdr:to>
    <xdr:sp macro="" textlink="">
      <xdr:nvSpPr>
        <xdr:cNvPr id="194" name="AutoShape 213" descr="+">
          <a:extLst>
            <a:ext uri="{FF2B5EF4-FFF2-40B4-BE49-F238E27FC236}">
              <a16:creationId xmlns:a16="http://schemas.microsoft.com/office/drawing/2014/main" id="{00000000-0008-0000-0A00-0000C2000000}"/>
            </a:ext>
          </a:extLst>
        </xdr:cNvPr>
        <xdr:cNvSpPr>
          <a:spLocks noChangeAspect="1" noChangeArrowheads="1"/>
        </xdr:cNvSpPr>
      </xdr:nvSpPr>
      <xdr:spPr bwMode="auto">
        <a:xfrm>
          <a:off x="0" y="25155525"/>
          <a:ext cx="304800" cy="1731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214237</xdr:rowOff>
    </xdr:to>
    <xdr:sp macro="" textlink="">
      <xdr:nvSpPr>
        <xdr:cNvPr id="195" name="AutoShape 214" descr="+">
          <a:extLst>
            <a:ext uri="{FF2B5EF4-FFF2-40B4-BE49-F238E27FC236}">
              <a16:creationId xmlns:a16="http://schemas.microsoft.com/office/drawing/2014/main" id="{00000000-0008-0000-0A00-0000C3000000}"/>
            </a:ext>
          </a:extLst>
        </xdr:cNvPr>
        <xdr:cNvSpPr>
          <a:spLocks noChangeAspect="1" noChangeArrowheads="1"/>
        </xdr:cNvSpPr>
      </xdr:nvSpPr>
      <xdr:spPr bwMode="auto">
        <a:xfrm>
          <a:off x="0" y="25155525"/>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214239</xdr:rowOff>
    </xdr:to>
    <xdr:sp macro="" textlink="">
      <xdr:nvSpPr>
        <xdr:cNvPr id="196" name="AutoShape 215" descr="+">
          <a:extLst>
            <a:ext uri="{FF2B5EF4-FFF2-40B4-BE49-F238E27FC236}">
              <a16:creationId xmlns:a16="http://schemas.microsoft.com/office/drawing/2014/main" id="{00000000-0008-0000-0A00-0000C4000000}"/>
            </a:ext>
          </a:extLst>
        </xdr:cNvPr>
        <xdr:cNvSpPr>
          <a:spLocks noChangeAspect="1" noChangeArrowheads="1"/>
        </xdr:cNvSpPr>
      </xdr:nvSpPr>
      <xdr:spPr bwMode="auto">
        <a:xfrm>
          <a:off x="0" y="2515552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206817</xdr:rowOff>
    </xdr:to>
    <xdr:sp macro="" textlink="">
      <xdr:nvSpPr>
        <xdr:cNvPr id="197" name="AutoShape 216" descr="+">
          <a:extLst>
            <a:ext uri="{FF2B5EF4-FFF2-40B4-BE49-F238E27FC236}">
              <a16:creationId xmlns:a16="http://schemas.microsoft.com/office/drawing/2014/main" id="{00000000-0008-0000-0A00-0000C5000000}"/>
            </a:ext>
          </a:extLst>
        </xdr:cNvPr>
        <xdr:cNvSpPr>
          <a:spLocks noChangeAspect="1" noChangeArrowheads="1"/>
        </xdr:cNvSpPr>
      </xdr:nvSpPr>
      <xdr:spPr bwMode="auto">
        <a:xfrm>
          <a:off x="0" y="25155525"/>
          <a:ext cx="304800" cy="20308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175457</xdr:rowOff>
    </xdr:to>
    <xdr:sp macro="" textlink="">
      <xdr:nvSpPr>
        <xdr:cNvPr id="198" name="AutoShape 217" descr="+">
          <a:extLst>
            <a:ext uri="{FF2B5EF4-FFF2-40B4-BE49-F238E27FC236}">
              <a16:creationId xmlns:a16="http://schemas.microsoft.com/office/drawing/2014/main" id="{00000000-0008-0000-0A00-0000C6000000}"/>
            </a:ext>
          </a:extLst>
        </xdr:cNvPr>
        <xdr:cNvSpPr>
          <a:spLocks noChangeAspect="1" noChangeArrowheads="1"/>
        </xdr:cNvSpPr>
      </xdr:nvSpPr>
      <xdr:spPr bwMode="auto">
        <a:xfrm>
          <a:off x="0" y="25155525"/>
          <a:ext cx="304800" cy="17172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175458</xdr:rowOff>
    </xdr:to>
    <xdr:sp macro="" textlink="">
      <xdr:nvSpPr>
        <xdr:cNvPr id="199" name="AutoShape 218" descr="+">
          <a:extLst>
            <a:ext uri="{FF2B5EF4-FFF2-40B4-BE49-F238E27FC236}">
              <a16:creationId xmlns:a16="http://schemas.microsoft.com/office/drawing/2014/main" id="{00000000-0008-0000-0A00-0000C7000000}"/>
            </a:ext>
          </a:extLst>
        </xdr:cNvPr>
        <xdr:cNvSpPr>
          <a:spLocks noChangeAspect="1" noChangeArrowheads="1"/>
        </xdr:cNvSpPr>
      </xdr:nvSpPr>
      <xdr:spPr bwMode="auto">
        <a:xfrm>
          <a:off x="0" y="25155525"/>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190424</xdr:rowOff>
    </xdr:to>
    <xdr:sp macro="" textlink="">
      <xdr:nvSpPr>
        <xdr:cNvPr id="200" name="AutoShape 219" descr="+">
          <a:extLst>
            <a:ext uri="{FF2B5EF4-FFF2-40B4-BE49-F238E27FC236}">
              <a16:creationId xmlns:a16="http://schemas.microsoft.com/office/drawing/2014/main" id="{00000000-0008-0000-0A00-0000C8000000}"/>
            </a:ext>
          </a:extLst>
        </xdr:cNvPr>
        <xdr:cNvSpPr>
          <a:spLocks noChangeAspect="1" noChangeArrowheads="1"/>
        </xdr:cNvSpPr>
      </xdr:nvSpPr>
      <xdr:spPr bwMode="auto">
        <a:xfrm>
          <a:off x="0" y="25155525"/>
          <a:ext cx="304800" cy="18669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175458</xdr:rowOff>
    </xdr:to>
    <xdr:sp macro="" textlink="">
      <xdr:nvSpPr>
        <xdr:cNvPr id="201" name="AutoShape 220" descr="+">
          <a:extLst>
            <a:ext uri="{FF2B5EF4-FFF2-40B4-BE49-F238E27FC236}">
              <a16:creationId xmlns:a16="http://schemas.microsoft.com/office/drawing/2014/main" id="{00000000-0008-0000-0A00-0000C9000000}"/>
            </a:ext>
          </a:extLst>
        </xdr:cNvPr>
        <xdr:cNvSpPr>
          <a:spLocks noChangeAspect="1" noChangeArrowheads="1"/>
        </xdr:cNvSpPr>
      </xdr:nvSpPr>
      <xdr:spPr bwMode="auto">
        <a:xfrm>
          <a:off x="0" y="25155525"/>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214239</xdr:rowOff>
    </xdr:to>
    <xdr:sp macro="" textlink="">
      <xdr:nvSpPr>
        <xdr:cNvPr id="202" name="AutoShape 221" descr="+">
          <a:extLst>
            <a:ext uri="{FF2B5EF4-FFF2-40B4-BE49-F238E27FC236}">
              <a16:creationId xmlns:a16="http://schemas.microsoft.com/office/drawing/2014/main" id="{00000000-0008-0000-0A00-0000CA000000}"/>
            </a:ext>
          </a:extLst>
        </xdr:cNvPr>
        <xdr:cNvSpPr>
          <a:spLocks noChangeAspect="1" noChangeArrowheads="1"/>
        </xdr:cNvSpPr>
      </xdr:nvSpPr>
      <xdr:spPr bwMode="auto">
        <a:xfrm>
          <a:off x="0" y="2515552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214239</xdr:rowOff>
    </xdr:to>
    <xdr:sp macro="" textlink="">
      <xdr:nvSpPr>
        <xdr:cNvPr id="203" name="AutoShape 222" descr="+">
          <a:extLst>
            <a:ext uri="{FF2B5EF4-FFF2-40B4-BE49-F238E27FC236}">
              <a16:creationId xmlns:a16="http://schemas.microsoft.com/office/drawing/2014/main" id="{00000000-0008-0000-0A00-0000CB000000}"/>
            </a:ext>
          </a:extLst>
        </xdr:cNvPr>
        <xdr:cNvSpPr>
          <a:spLocks noChangeAspect="1" noChangeArrowheads="1"/>
        </xdr:cNvSpPr>
      </xdr:nvSpPr>
      <xdr:spPr bwMode="auto">
        <a:xfrm>
          <a:off x="0" y="2515552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214237</xdr:rowOff>
    </xdr:to>
    <xdr:sp macro="" textlink="">
      <xdr:nvSpPr>
        <xdr:cNvPr id="204" name="AutoShape 223" descr="+">
          <a:extLst>
            <a:ext uri="{FF2B5EF4-FFF2-40B4-BE49-F238E27FC236}">
              <a16:creationId xmlns:a16="http://schemas.microsoft.com/office/drawing/2014/main" id="{00000000-0008-0000-0A00-0000CC000000}"/>
            </a:ext>
          </a:extLst>
        </xdr:cNvPr>
        <xdr:cNvSpPr>
          <a:spLocks noChangeAspect="1" noChangeArrowheads="1"/>
        </xdr:cNvSpPr>
      </xdr:nvSpPr>
      <xdr:spPr bwMode="auto">
        <a:xfrm>
          <a:off x="0" y="25155525"/>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214237</xdr:rowOff>
    </xdr:to>
    <xdr:sp macro="" textlink="">
      <xdr:nvSpPr>
        <xdr:cNvPr id="205" name="AutoShape 224" descr="+">
          <a:extLst>
            <a:ext uri="{FF2B5EF4-FFF2-40B4-BE49-F238E27FC236}">
              <a16:creationId xmlns:a16="http://schemas.microsoft.com/office/drawing/2014/main" id="{00000000-0008-0000-0A00-0000CD000000}"/>
            </a:ext>
          </a:extLst>
        </xdr:cNvPr>
        <xdr:cNvSpPr>
          <a:spLocks noChangeAspect="1" noChangeArrowheads="1"/>
        </xdr:cNvSpPr>
      </xdr:nvSpPr>
      <xdr:spPr bwMode="auto">
        <a:xfrm>
          <a:off x="0" y="25155525"/>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195187</xdr:rowOff>
    </xdr:to>
    <xdr:sp macro="" textlink="">
      <xdr:nvSpPr>
        <xdr:cNvPr id="206" name="AutoShape 225" descr="+">
          <a:extLst>
            <a:ext uri="{FF2B5EF4-FFF2-40B4-BE49-F238E27FC236}">
              <a16:creationId xmlns:a16="http://schemas.microsoft.com/office/drawing/2014/main" id="{00000000-0008-0000-0A00-0000CE000000}"/>
            </a:ext>
          </a:extLst>
        </xdr:cNvPr>
        <xdr:cNvSpPr>
          <a:spLocks noChangeAspect="1" noChangeArrowheads="1"/>
        </xdr:cNvSpPr>
      </xdr:nvSpPr>
      <xdr:spPr bwMode="auto">
        <a:xfrm>
          <a:off x="0" y="25155525"/>
          <a:ext cx="304800" cy="191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308529</xdr:rowOff>
    </xdr:to>
    <xdr:sp macro="" textlink="">
      <xdr:nvSpPr>
        <xdr:cNvPr id="207" name="AutoShape 226" descr="+">
          <a:extLst>
            <a:ext uri="{FF2B5EF4-FFF2-40B4-BE49-F238E27FC236}">
              <a16:creationId xmlns:a16="http://schemas.microsoft.com/office/drawing/2014/main" id="{00000000-0008-0000-0A00-0000CF000000}"/>
            </a:ext>
          </a:extLst>
        </xdr:cNvPr>
        <xdr:cNvSpPr>
          <a:spLocks noChangeAspect="1" noChangeArrowheads="1"/>
        </xdr:cNvSpPr>
      </xdr:nvSpPr>
      <xdr:spPr bwMode="auto">
        <a:xfrm>
          <a:off x="0" y="25155525"/>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214237</xdr:rowOff>
    </xdr:to>
    <xdr:sp macro="" textlink="">
      <xdr:nvSpPr>
        <xdr:cNvPr id="208" name="AutoShape 227" descr="+">
          <a:extLst>
            <a:ext uri="{FF2B5EF4-FFF2-40B4-BE49-F238E27FC236}">
              <a16:creationId xmlns:a16="http://schemas.microsoft.com/office/drawing/2014/main" id="{00000000-0008-0000-0A00-0000D0000000}"/>
            </a:ext>
          </a:extLst>
        </xdr:cNvPr>
        <xdr:cNvSpPr>
          <a:spLocks noChangeAspect="1" noChangeArrowheads="1"/>
        </xdr:cNvSpPr>
      </xdr:nvSpPr>
      <xdr:spPr bwMode="auto">
        <a:xfrm>
          <a:off x="0" y="25155525"/>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214238</xdr:rowOff>
    </xdr:to>
    <xdr:sp macro="" textlink="">
      <xdr:nvSpPr>
        <xdr:cNvPr id="209" name="AutoShape 228" descr="+">
          <a:extLst>
            <a:ext uri="{FF2B5EF4-FFF2-40B4-BE49-F238E27FC236}">
              <a16:creationId xmlns:a16="http://schemas.microsoft.com/office/drawing/2014/main" id="{00000000-0008-0000-0A00-0000D1000000}"/>
            </a:ext>
          </a:extLst>
        </xdr:cNvPr>
        <xdr:cNvSpPr>
          <a:spLocks noChangeAspect="1" noChangeArrowheads="1"/>
        </xdr:cNvSpPr>
      </xdr:nvSpPr>
      <xdr:spPr bwMode="auto">
        <a:xfrm>
          <a:off x="0" y="2515552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310206</xdr:rowOff>
    </xdr:to>
    <xdr:sp macro="" textlink="">
      <xdr:nvSpPr>
        <xdr:cNvPr id="210" name="AutoShape 229" descr="+">
          <a:extLst>
            <a:ext uri="{FF2B5EF4-FFF2-40B4-BE49-F238E27FC236}">
              <a16:creationId xmlns:a16="http://schemas.microsoft.com/office/drawing/2014/main" id="{00000000-0008-0000-0A00-0000D2000000}"/>
            </a:ext>
          </a:extLst>
        </xdr:cNvPr>
        <xdr:cNvSpPr>
          <a:spLocks noChangeAspect="1" noChangeArrowheads="1"/>
        </xdr:cNvSpPr>
      </xdr:nvSpPr>
      <xdr:spPr bwMode="auto">
        <a:xfrm>
          <a:off x="0" y="25155525"/>
          <a:ext cx="304800" cy="30647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308528</xdr:rowOff>
    </xdr:to>
    <xdr:sp macro="" textlink="">
      <xdr:nvSpPr>
        <xdr:cNvPr id="211" name="AutoShape 230" descr="+">
          <a:extLst>
            <a:ext uri="{FF2B5EF4-FFF2-40B4-BE49-F238E27FC236}">
              <a16:creationId xmlns:a16="http://schemas.microsoft.com/office/drawing/2014/main" id="{00000000-0008-0000-0A00-0000D3000000}"/>
            </a:ext>
          </a:extLst>
        </xdr:cNvPr>
        <xdr:cNvSpPr>
          <a:spLocks noChangeAspect="1" noChangeArrowheads="1"/>
        </xdr:cNvSpPr>
      </xdr:nvSpPr>
      <xdr:spPr bwMode="auto">
        <a:xfrm>
          <a:off x="0" y="2515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175457</xdr:rowOff>
    </xdr:to>
    <xdr:sp macro="" textlink="">
      <xdr:nvSpPr>
        <xdr:cNvPr id="212" name="AutoShape 231" descr="+">
          <a:extLst>
            <a:ext uri="{FF2B5EF4-FFF2-40B4-BE49-F238E27FC236}">
              <a16:creationId xmlns:a16="http://schemas.microsoft.com/office/drawing/2014/main" id="{00000000-0008-0000-0A00-0000D4000000}"/>
            </a:ext>
          </a:extLst>
        </xdr:cNvPr>
        <xdr:cNvSpPr>
          <a:spLocks noChangeAspect="1" noChangeArrowheads="1"/>
        </xdr:cNvSpPr>
      </xdr:nvSpPr>
      <xdr:spPr bwMode="auto">
        <a:xfrm>
          <a:off x="0" y="25155525"/>
          <a:ext cx="304800" cy="17172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185665</xdr:rowOff>
    </xdr:to>
    <xdr:sp macro="" textlink="">
      <xdr:nvSpPr>
        <xdr:cNvPr id="213" name="AutoShape 232" descr="+">
          <a:extLst>
            <a:ext uri="{FF2B5EF4-FFF2-40B4-BE49-F238E27FC236}">
              <a16:creationId xmlns:a16="http://schemas.microsoft.com/office/drawing/2014/main" id="{00000000-0008-0000-0A00-0000D5000000}"/>
            </a:ext>
          </a:extLst>
        </xdr:cNvPr>
        <xdr:cNvSpPr>
          <a:spLocks noChangeAspect="1" noChangeArrowheads="1"/>
        </xdr:cNvSpPr>
      </xdr:nvSpPr>
      <xdr:spPr bwMode="auto">
        <a:xfrm>
          <a:off x="0" y="25155525"/>
          <a:ext cx="304800" cy="1819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175457</xdr:rowOff>
    </xdr:to>
    <xdr:sp macro="" textlink="">
      <xdr:nvSpPr>
        <xdr:cNvPr id="214" name="AutoShape 233" descr="+">
          <a:extLst>
            <a:ext uri="{FF2B5EF4-FFF2-40B4-BE49-F238E27FC236}">
              <a16:creationId xmlns:a16="http://schemas.microsoft.com/office/drawing/2014/main" id="{00000000-0008-0000-0A00-0000D6000000}"/>
            </a:ext>
          </a:extLst>
        </xdr:cNvPr>
        <xdr:cNvSpPr>
          <a:spLocks noChangeAspect="1" noChangeArrowheads="1"/>
        </xdr:cNvSpPr>
      </xdr:nvSpPr>
      <xdr:spPr bwMode="auto">
        <a:xfrm>
          <a:off x="0" y="25155525"/>
          <a:ext cx="304800" cy="17172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214239</xdr:rowOff>
    </xdr:to>
    <xdr:sp macro="" textlink="">
      <xdr:nvSpPr>
        <xdr:cNvPr id="215" name="AutoShape 234" descr="+">
          <a:extLst>
            <a:ext uri="{FF2B5EF4-FFF2-40B4-BE49-F238E27FC236}">
              <a16:creationId xmlns:a16="http://schemas.microsoft.com/office/drawing/2014/main" id="{00000000-0008-0000-0A00-0000D7000000}"/>
            </a:ext>
          </a:extLst>
        </xdr:cNvPr>
        <xdr:cNvSpPr>
          <a:spLocks noChangeAspect="1" noChangeArrowheads="1"/>
        </xdr:cNvSpPr>
      </xdr:nvSpPr>
      <xdr:spPr bwMode="auto">
        <a:xfrm>
          <a:off x="0" y="2515552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214236</xdr:rowOff>
    </xdr:to>
    <xdr:sp macro="" textlink="">
      <xdr:nvSpPr>
        <xdr:cNvPr id="216" name="AutoShape 235" descr="+">
          <a:extLst>
            <a:ext uri="{FF2B5EF4-FFF2-40B4-BE49-F238E27FC236}">
              <a16:creationId xmlns:a16="http://schemas.microsoft.com/office/drawing/2014/main" id="{00000000-0008-0000-0A00-0000D8000000}"/>
            </a:ext>
          </a:extLst>
        </xdr:cNvPr>
        <xdr:cNvSpPr>
          <a:spLocks noChangeAspect="1" noChangeArrowheads="1"/>
        </xdr:cNvSpPr>
      </xdr:nvSpPr>
      <xdr:spPr bwMode="auto">
        <a:xfrm>
          <a:off x="0" y="25155525"/>
          <a:ext cx="304800" cy="2105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214238</xdr:rowOff>
    </xdr:to>
    <xdr:sp macro="" textlink="">
      <xdr:nvSpPr>
        <xdr:cNvPr id="217" name="AutoShape 236" descr="+">
          <a:extLst>
            <a:ext uri="{FF2B5EF4-FFF2-40B4-BE49-F238E27FC236}">
              <a16:creationId xmlns:a16="http://schemas.microsoft.com/office/drawing/2014/main" id="{00000000-0008-0000-0A00-0000D9000000}"/>
            </a:ext>
          </a:extLst>
        </xdr:cNvPr>
        <xdr:cNvSpPr>
          <a:spLocks noChangeAspect="1" noChangeArrowheads="1"/>
        </xdr:cNvSpPr>
      </xdr:nvSpPr>
      <xdr:spPr bwMode="auto">
        <a:xfrm>
          <a:off x="0" y="2515552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175457</xdr:rowOff>
    </xdr:to>
    <xdr:sp macro="" textlink="">
      <xdr:nvSpPr>
        <xdr:cNvPr id="218" name="AutoShape 237" descr="+">
          <a:extLst>
            <a:ext uri="{FF2B5EF4-FFF2-40B4-BE49-F238E27FC236}">
              <a16:creationId xmlns:a16="http://schemas.microsoft.com/office/drawing/2014/main" id="{00000000-0008-0000-0A00-0000DA000000}"/>
            </a:ext>
          </a:extLst>
        </xdr:cNvPr>
        <xdr:cNvSpPr>
          <a:spLocks noChangeAspect="1" noChangeArrowheads="1"/>
        </xdr:cNvSpPr>
      </xdr:nvSpPr>
      <xdr:spPr bwMode="auto">
        <a:xfrm>
          <a:off x="0" y="25155525"/>
          <a:ext cx="304800" cy="17172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214241</xdr:rowOff>
    </xdr:to>
    <xdr:sp macro="" textlink="">
      <xdr:nvSpPr>
        <xdr:cNvPr id="219" name="AutoShape 238" descr="+">
          <a:extLst>
            <a:ext uri="{FF2B5EF4-FFF2-40B4-BE49-F238E27FC236}">
              <a16:creationId xmlns:a16="http://schemas.microsoft.com/office/drawing/2014/main" id="{00000000-0008-0000-0A00-0000DB000000}"/>
            </a:ext>
          </a:extLst>
        </xdr:cNvPr>
        <xdr:cNvSpPr>
          <a:spLocks noChangeAspect="1" noChangeArrowheads="1"/>
        </xdr:cNvSpPr>
      </xdr:nvSpPr>
      <xdr:spPr bwMode="auto">
        <a:xfrm>
          <a:off x="0" y="25155525"/>
          <a:ext cx="304800" cy="2105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214236</xdr:rowOff>
    </xdr:to>
    <xdr:sp macro="" textlink="">
      <xdr:nvSpPr>
        <xdr:cNvPr id="220" name="AutoShape 239" descr="+">
          <a:extLst>
            <a:ext uri="{FF2B5EF4-FFF2-40B4-BE49-F238E27FC236}">
              <a16:creationId xmlns:a16="http://schemas.microsoft.com/office/drawing/2014/main" id="{00000000-0008-0000-0A00-0000DC000000}"/>
            </a:ext>
          </a:extLst>
        </xdr:cNvPr>
        <xdr:cNvSpPr>
          <a:spLocks noChangeAspect="1" noChangeArrowheads="1"/>
        </xdr:cNvSpPr>
      </xdr:nvSpPr>
      <xdr:spPr bwMode="auto">
        <a:xfrm>
          <a:off x="0" y="25155525"/>
          <a:ext cx="304800" cy="2105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214238</xdr:rowOff>
    </xdr:to>
    <xdr:sp macro="" textlink="">
      <xdr:nvSpPr>
        <xdr:cNvPr id="221" name="AutoShape 240" descr="+">
          <a:extLst>
            <a:ext uri="{FF2B5EF4-FFF2-40B4-BE49-F238E27FC236}">
              <a16:creationId xmlns:a16="http://schemas.microsoft.com/office/drawing/2014/main" id="{00000000-0008-0000-0A00-0000DD000000}"/>
            </a:ext>
          </a:extLst>
        </xdr:cNvPr>
        <xdr:cNvSpPr>
          <a:spLocks noChangeAspect="1" noChangeArrowheads="1"/>
        </xdr:cNvSpPr>
      </xdr:nvSpPr>
      <xdr:spPr bwMode="auto">
        <a:xfrm>
          <a:off x="0" y="2515552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214237</xdr:rowOff>
    </xdr:to>
    <xdr:sp macro="" textlink="">
      <xdr:nvSpPr>
        <xdr:cNvPr id="222" name="AutoShape 241" descr="+">
          <a:extLst>
            <a:ext uri="{FF2B5EF4-FFF2-40B4-BE49-F238E27FC236}">
              <a16:creationId xmlns:a16="http://schemas.microsoft.com/office/drawing/2014/main" id="{00000000-0008-0000-0A00-0000DE000000}"/>
            </a:ext>
          </a:extLst>
        </xdr:cNvPr>
        <xdr:cNvSpPr>
          <a:spLocks noChangeAspect="1" noChangeArrowheads="1"/>
        </xdr:cNvSpPr>
      </xdr:nvSpPr>
      <xdr:spPr bwMode="auto">
        <a:xfrm>
          <a:off x="0" y="25155525"/>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190425</xdr:rowOff>
    </xdr:to>
    <xdr:sp macro="" textlink="">
      <xdr:nvSpPr>
        <xdr:cNvPr id="223" name="AutoShape 242" descr="+">
          <a:extLst>
            <a:ext uri="{FF2B5EF4-FFF2-40B4-BE49-F238E27FC236}">
              <a16:creationId xmlns:a16="http://schemas.microsoft.com/office/drawing/2014/main" id="{00000000-0008-0000-0A00-0000DF000000}"/>
            </a:ext>
          </a:extLst>
        </xdr:cNvPr>
        <xdr:cNvSpPr>
          <a:spLocks noChangeAspect="1" noChangeArrowheads="1"/>
        </xdr:cNvSpPr>
      </xdr:nvSpPr>
      <xdr:spPr bwMode="auto">
        <a:xfrm>
          <a:off x="0" y="25155525"/>
          <a:ext cx="304800" cy="18669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214239</xdr:rowOff>
    </xdr:to>
    <xdr:sp macro="" textlink="">
      <xdr:nvSpPr>
        <xdr:cNvPr id="224" name="AutoShape 243" descr="+">
          <a:extLst>
            <a:ext uri="{FF2B5EF4-FFF2-40B4-BE49-F238E27FC236}">
              <a16:creationId xmlns:a16="http://schemas.microsoft.com/office/drawing/2014/main" id="{00000000-0008-0000-0A00-0000E0000000}"/>
            </a:ext>
          </a:extLst>
        </xdr:cNvPr>
        <xdr:cNvSpPr>
          <a:spLocks noChangeAspect="1" noChangeArrowheads="1"/>
        </xdr:cNvSpPr>
      </xdr:nvSpPr>
      <xdr:spPr bwMode="auto">
        <a:xfrm>
          <a:off x="0" y="2515552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214238</xdr:rowOff>
    </xdr:to>
    <xdr:sp macro="" textlink="">
      <xdr:nvSpPr>
        <xdr:cNvPr id="225" name="AutoShape 244" descr="+">
          <a:extLst>
            <a:ext uri="{FF2B5EF4-FFF2-40B4-BE49-F238E27FC236}">
              <a16:creationId xmlns:a16="http://schemas.microsoft.com/office/drawing/2014/main" id="{00000000-0008-0000-0A00-0000E1000000}"/>
            </a:ext>
          </a:extLst>
        </xdr:cNvPr>
        <xdr:cNvSpPr>
          <a:spLocks noChangeAspect="1" noChangeArrowheads="1"/>
        </xdr:cNvSpPr>
      </xdr:nvSpPr>
      <xdr:spPr bwMode="auto">
        <a:xfrm>
          <a:off x="0" y="2515552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214237</xdr:rowOff>
    </xdr:to>
    <xdr:sp macro="" textlink="">
      <xdr:nvSpPr>
        <xdr:cNvPr id="226" name="AutoShape 245" descr="+">
          <a:extLst>
            <a:ext uri="{FF2B5EF4-FFF2-40B4-BE49-F238E27FC236}">
              <a16:creationId xmlns:a16="http://schemas.microsoft.com/office/drawing/2014/main" id="{00000000-0008-0000-0A00-0000E2000000}"/>
            </a:ext>
          </a:extLst>
        </xdr:cNvPr>
        <xdr:cNvSpPr>
          <a:spLocks noChangeAspect="1" noChangeArrowheads="1"/>
        </xdr:cNvSpPr>
      </xdr:nvSpPr>
      <xdr:spPr bwMode="auto">
        <a:xfrm>
          <a:off x="0" y="25155525"/>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180219</xdr:rowOff>
    </xdr:to>
    <xdr:sp macro="" textlink="">
      <xdr:nvSpPr>
        <xdr:cNvPr id="227" name="AutoShape 246" descr="+">
          <a:extLst>
            <a:ext uri="{FF2B5EF4-FFF2-40B4-BE49-F238E27FC236}">
              <a16:creationId xmlns:a16="http://schemas.microsoft.com/office/drawing/2014/main" id="{00000000-0008-0000-0A00-0000E3000000}"/>
            </a:ext>
          </a:extLst>
        </xdr:cNvPr>
        <xdr:cNvSpPr>
          <a:spLocks noChangeAspect="1" noChangeArrowheads="1"/>
        </xdr:cNvSpPr>
      </xdr:nvSpPr>
      <xdr:spPr bwMode="auto">
        <a:xfrm>
          <a:off x="0" y="25155525"/>
          <a:ext cx="304800" cy="17649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175458</xdr:rowOff>
    </xdr:to>
    <xdr:sp macro="" textlink="">
      <xdr:nvSpPr>
        <xdr:cNvPr id="228" name="AutoShape 247" descr="+">
          <a:extLst>
            <a:ext uri="{FF2B5EF4-FFF2-40B4-BE49-F238E27FC236}">
              <a16:creationId xmlns:a16="http://schemas.microsoft.com/office/drawing/2014/main" id="{00000000-0008-0000-0A00-0000E4000000}"/>
            </a:ext>
          </a:extLst>
        </xdr:cNvPr>
        <xdr:cNvSpPr>
          <a:spLocks noChangeAspect="1" noChangeArrowheads="1"/>
        </xdr:cNvSpPr>
      </xdr:nvSpPr>
      <xdr:spPr bwMode="auto">
        <a:xfrm>
          <a:off x="0" y="25155525"/>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185665</xdr:rowOff>
    </xdr:to>
    <xdr:sp macro="" textlink="">
      <xdr:nvSpPr>
        <xdr:cNvPr id="229" name="AutoShape 248" descr="+">
          <a:extLst>
            <a:ext uri="{FF2B5EF4-FFF2-40B4-BE49-F238E27FC236}">
              <a16:creationId xmlns:a16="http://schemas.microsoft.com/office/drawing/2014/main" id="{00000000-0008-0000-0A00-0000E5000000}"/>
            </a:ext>
          </a:extLst>
        </xdr:cNvPr>
        <xdr:cNvSpPr>
          <a:spLocks noChangeAspect="1" noChangeArrowheads="1"/>
        </xdr:cNvSpPr>
      </xdr:nvSpPr>
      <xdr:spPr bwMode="auto">
        <a:xfrm>
          <a:off x="0" y="25155525"/>
          <a:ext cx="304800" cy="1819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175458</xdr:rowOff>
    </xdr:to>
    <xdr:sp macro="" textlink="">
      <xdr:nvSpPr>
        <xdr:cNvPr id="230" name="AutoShape 249" descr="+">
          <a:extLst>
            <a:ext uri="{FF2B5EF4-FFF2-40B4-BE49-F238E27FC236}">
              <a16:creationId xmlns:a16="http://schemas.microsoft.com/office/drawing/2014/main" id="{00000000-0008-0000-0A00-0000E6000000}"/>
            </a:ext>
          </a:extLst>
        </xdr:cNvPr>
        <xdr:cNvSpPr>
          <a:spLocks noChangeAspect="1" noChangeArrowheads="1"/>
        </xdr:cNvSpPr>
      </xdr:nvSpPr>
      <xdr:spPr bwMode="auto">
        <a:xfrm>
          <a:off x="0" y="25155525"/>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214237</xdr:rowOff>
    </xdr:to>
    <xdr:sp macro="" textlink="">
      <xdr:nvSpPr>
        <xdr:cNvPr id="231" name="AutoShape 250" descr="+">
          <a:extLst>
            <a:ext uri="{FF2B5EF4-FFF2-40B4-BE49-F238E27FC236}">
              <a16:creationId xmlns:a16="http://schemas.microsoft.com/office/drawing/2014/main" id="{00000000-0008-0000-0A00-0000E7000000}"/>
            </a:ext>
          </a:extLst>
        </xdr:cNvPr>
        <xdr:cNvSpPr>
          <a:spLocks noChangeAspect="1" noChangeArrowheads="1"/>
        </xdr:cNvSpPr>
      </xdr:nvSpPr>
      <xdr:spPr bwMode="auto">
        <a:xfrm>
          <a:off x="0" y="25155525"/>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214238</xdr:rowOff>
    </xdr:to>
    <xdr:sp macro="" textlink="">
      <xdr:nvSpPr>
        <xdr:cNvPr id="232" name="AutoShape 251" descr="+">
          <a:extLst>
            <a:ext uri="{FF2B5EF4-FFF2-40B4-BE49-F238E27FC236}">
              <a16:creationId xmlns:a16="http://schemas.microsoft.com/office/drawing/2014/main" id="{00000000-0008-0000-0A00-0000E8000000}"/>
            </a:ext>
          </a:extLst>
        </xdr:cNvPr>
        <xdr:cNvSpPr>
          <a:spLocks noChangeAspect="1" noChangeArrowheads="1"/>
        </xdr:cNvSpPr>
      </xdr:nvSpPr>
      <xdr:spPr bwMode="auto">
        <a:xfrm>
          <a:off x="0" y="2515552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214236</xdr:rowOff>
    </xdr:to>
    <xdr:sp macro="" textlink="">
      <xdr:nvSpPr>
        <xdr:cNvPr id="233" name="AutoShape 252" descr="+">
          <a:extLst>
            <a:ext uri="{FF2B5EF4-FFF2-40B4-BE49-F238E27FC236}">
              <a16:creationId xmlns:a16="http://schemas.microsoft.com/office/drawing/2014/main" id="{00000000-0008-0000-0A00-0000E9000000}"/>
            </a:ext>
          </a:extLst>
        </xdr:cNvPr>
        <xdr:cNvSpPr>
          <a:spLocks noChangeAspect="1" noChangeArrowheads="1"/>
        </xdr:cNvSpPr>
      </xdr:nvSpPr>
      <xdr:spPr bwMode="auto">
        <a:xfrm>
          <a:off x="0" y="25155525"/>
          <a:ext cx="304800" cy="2105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185664</xdr:rowOff>
    </xdr:to>
    <xdr:sp macro="" textlink="">
      <xdr:nvSpPr>
        <xdr:cNvPr id="234" name="AutoShape 253" descr="+">
          <a:extLst>
            <a:ext uri="{FF2B5EF4-FFF2-40B4-BE49-F238E27FC236}">
              <a16:creationId xmlns:a16="http://schemas.microsoft.com/office/drawing/2014/main" id="{00000000-0008-0000-0A00-0000EA000000}"/>
            </a:ext>
          </a:extLst>
        </xdr:cNvPr>
        <xdr:cNvSpPr>
          <a:spLocks noChangeAspect="1" noChangeArrowheads="1"/>
        </xdr:cNvSpPr>
      </xdr:nvSpPr>
      <xdr:spPr bwMode="auto">
        <a:xfrm>
          <a:off x="0" y="25155525"/>
          <a:ext cx="304800" cy="18193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214238</xdr:rowOff>
    </xdr:to>
    <xdr:sp macro="" textlink="">
      <xdr:nvSpPr>
        <xdr:cNvPr id="235" name="AutoShape 254" descr="+">
          <a:extLst>
            <a:ext uri="{FF2B5EF4-FFF2-40B4-BE49-F238E27FC236}">
              <a16:creationId xmlns:a16="http://schemas.microsoft.com/office/drawing/2014/main" id="{00000000-0008-0000-0A00-0000EB000000}"/>
            </a:ext>
          </a:extLst>
        </xdr:cNvPr>
        <xdr:cNvSpPr>
          <a:spLocks noChangeAspect="1" noChangeArrowheads="1"/>
        </xdr:cNvSpPr>
      </xdr:nvSpPr>
      <xdr:spPr bwMode="auto">
        <a:xfrm>
          <a:off x="0" y="2515552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214238</xdr:rowOff>
    </xdr:to>
    <xdr:sp macro="" textlink="">
      <xdr:nvSpPr>
        <xdr:cNvPr id="236" name="AutoShape 255" descr="+">
          <a:extLst>
            <a:ext uri="{FF2B5EF4-FFF2-40B4-BE49-F238E27FC236}">
              <a16:creationId xmlns:a16="http://schemas.microsoft.com/office/drawing/2014/main" id="{00000000-0008-0000-0A00-0000EC000000}"/>
            </a:ext>
          </a:extLst>
        </xdr:cNvPr>
        <xdr:cNvSpPr>
          <a:spLocks noChangeAspect="1" noChangeArrowheads="1"/>
        </xdr:cNvSpPr>
      </xdr:nvSpPr>
      <xdr:spPr bwMode="auto">
        <a:xfrm>
          <a:off x="0" y="2515552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214237</xdr:rowOff>
    </xdr:to>
    <xdr:sp macro="" textlink="">
      <xdr:nvSpPr>
        <xdr:cNvPr id="237" name="AutoShape 256" descr="+">
          <a:extLst>
            <a:ext uri="{FF2B5EF4-FFF2-40B4-BE49-F238E27FC236}">
              <a16:creationId xmlns:a16="http://schemas.microsoft.com/office/drawing/2014/main" id="{00000000-0008-0000-0A00-0000ED000000}"/>
            </a:ext>
          </a:extLst>
        </xdr:cNvPr>
        <xdr:cNvSpPr>
          <a:spLocks noChangeAspect="1" noChangeArrowheads="1"/>
        </xdr:cNvSpPr>
      </xdr:nvSpPr>
      <xdr:spPr bwMode="auto">
        <a:xfrm>
          <a:off x="0" y="25155525"/>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214239</xdr:rowOff>
    </xdr:to>
    <xdr:sp macro="" textlink="">
      <xdr:nvSpPr>
        <xdr:cNvPr id="238" name="AutoShape 257" descr="+">
          <a:extLst>
            <a:ext uri="{FF2B5EF4-FFF2-40B4-BE49-F238E27FC236}">
              <a16:creationId xmlns:a16="http://schemas.microsoft.com/office/drawing/2014/main" id="{00000000-0008-0000-0A00-0000EE000000}"/>
            </a:ext>
          </a:extLst>
        </xdr:cNvPr>
        <xdr:cNvSpPr>
          <a:spLocks noChangeAspect="1" noChangeArrowheads="1"/>
        </xdr:cNvSpPr>
      </xdr:nvSpPr>
      <xdr:spPr bwMode="auto">
        <a:xfrm>
          <a:off x="0" y="2515552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275470</xdr:rowOff>
    </xdr:to>
    <xdr:sp macro="" textlink="">
      <xdr:nvSpPr>
        <xdr:cNvPr id="239" name="AutoShape 258" descr="+">
          <a:extLst>
            <a:ext uri="{FF2B5EF4-FFF2-40B4-BE49-F238E27FC236}">
              <a16:creationId xmlns:a16="http://schemas.microsoft.com/office/drawing/2014/main" id="{00000000-0008-0000-0A00-0000EF000000}"/>
            </a:ext>
          </a:extLst>
        </xdr:cNvPr>
        <xdr:cNvSpPr>
          <a:spLocks noChangeAspect="1" noChangeArrowheads="1"/>
        </xdr:cNvSpPr>
      </xdr:nvSpPr>
      <xdr:spPr bwMode="auto">
        <a:xfrm>
          <a:off x="0" y="25155525"/>
          <a:ext cx="304800" cy="27174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185664</xdr:rowOff>
    </xdr:to>
    <xdr:sp macro="" textlink="">
      <xdr:nvSpPr>
        <xdr:cNvPr id="240" name="AutoShape 259" descr="+">
          <a:extLst>
            <a:ext uri="{FF2B5EF4-FFF2-40B4-BE49-F238E27FC236}">
              <a16:creationId xmlns:a16="http://schemas.microsoft.com/office/drawing/2014/main" id="{00000000-0008-0000-0A00-0000F0000000}"/>
            </a:ext>
          </a:extLst>
        </xdr:cNvPr>
        <xdr:cNvSpPr>
          <a:spLocks noChangeAspect="1" noChangeArrowheads="1"/>
        </xdr:cNvSpPr>
      </xdr:nvSpPr>
      <xdr:spPr bwMode="auto">
        <a:xfrm>
          <a:off x="0" y="25155525"/>
          <a:ext cx="304800" cy="18193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308528</xdr:rowOff>
    </xdr:to>
    <xdr:sp macro="" textlink="">
      <xdr:nvSpPr>
        <xdr:cNvPr id="241" name="AutoShape 260" descr="+">
          <a:extLst>
            <a:ext uri="{FF2B5EF4-FFF2-40B4-BE49-F238E27FC236}">
              <a16:creationId xmlns:a16="http://schemas.microsoft.com/office/drawing/2014/main" id="{00000000-0008-0000-0A00-0000F1000000}"/>
            </a:ext>
          </a:extLst>
        </xdr:cNvPr>
        <xdr:cNvSpPr>
          <a:spLocks noChangeAspect="1" noChangeArrowheads="1"/>
        </xdr:cNvSpPr>
      </xdr:nvSpPr>
      <xdr:spPr bwMode="auto">
        <a:xfrm>
          <a:off x="0" y="2515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214237</xdr:rowOff>
    </xdr:to>
    <xdr:sp macro="" textlink="">
      <xdr:nvSpPr>
        <xdr:cNvPr id="242" name="AutoShape 261" descr="+">
          <a:extLst>
            <a:ext uri="{FF2B5EF4-FFF2-40B4-BE49-F238E27FC236}">
              <a16:creationId xmlns:a16="http://schemas.microsoft.com/office/drawing/2014/main" id="{00000000-0008-0000-0A00-0000F2000000}"/>
            </a:ext>
          </a:extLst>
        </xdr:cNvPr>
        <xdr:cNvSpPr>
          <a:spLocks noChangeAspect="1" noChangeArrowheads="1"/>
        </xdr:cNvSpPr>
      </xdr:nvSpPr>
      <xdr:spPr bwMode="auto">
        <a:xfrm>
          <a:off x="0" y="25155525"/>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214239</xdr:rowOff>
    </xdr:to>
    <xdr:sp macro="" textlink="">
      <xdr:nvSpPr>
        <xdr:cNvPr id="243" name="AutoShape 262" descr="+">
          <a:extLst>
            <a:ext uri="{FF2B5EF4-FFF2-40B4-BE49-F238E27FC236}">
              <a16:creationId xmlns:a16="http://schemas.microsoft.com/office/drawing/2014/main" id="{00000000-0008-0000-0A00-0000F3000000}"/>
            </a:ext>
          </a:extLst>
        </xdr:cNvPr>
        <xdr:cNvSpPr>
          <a:spLocks noChangeAspect="1" noChangeArrowheads="1"/>
        </xdr:cNvSpPr>
      </xdr:nvSpPr>
      <xdr:spPr bwMode="auto">
        <a:xfrm>
          <a:off x="0" y="2515552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169056</xdr:rowOff>
    </xdr:to>
    <xdr:sp macro="" textlink="">
      <xdr:nvSpPr>
        <xdr:cNvPr id="244" name="AutoShape 263" descr="+">
          <a:extLst>
            <a:ext uri="{FF2B5EF4-FFF2-40B4-BE49-F238E27FC236}">
              <a16:creationId xmlns:a16="http://schemas.microsoft.com/office/drawing/2014/main" id="{00000000-0008-0000-0A00-0000F4000000}"/>
            </a:ext>
          </a:extLst>
        </xdr:cNvPr>
        <xdr:cNvSpPr>
          <a:spLocks noChangeAspect="1" noChangeArrowheads="1"/>
        </xdr:cNvSpPr>
      </xdr:nvSpPr>
      <xdr:spPr bwMode="auto">
        <a:xfrm>
          <a:off x="0" y="25155525"/>
          <a:ext cx="304800" cy="16532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169055</xdr:rowOff>
    </xdr:to>
    <xdr:sp macro="" textlink="">
      <xdr:nvSpPr>
        <xdr:cNvPr id="245" name="AutoShape 264" descr="+">
          <a:extLst>
            <a:ext uri="{FF2B5EF4-FFF2-40B4-BE49-F238E27FC236}">
              <a16:creationId xmlns:a16="http://schemas.microsoft.com/office/drawing/2014/main" id="{00000000-0008-0000-0A00-0000F5000000}"/>
            </a:ext>
          </a:extLst>
        </xdr:cNvPr>
        <xdr:cNvSpPr>
          <a:spLocks noChangeAspect="1" noChangeArrowheads="1"/>
        </xdr:cNvSpPr>
      </xdr:nvSpPr>
      <xdr:spPr bwMode="auto">
        <a:xfrm>
          <a:off x="0" y="25155525"/>
          <a:ext cx="304800" cy="1653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207838</xdr:rowOff>
    </xdr:to>
    <xdr:sp macro="" textlink="">
      <xdr:nvSpPr>
        <xdr:cNvPr id="246" name="AutoShape 265" descr="+">
          <a:extLst>
            <a:ext uri="{FF2B5EF4-FFF2-40B4-BE49-F238E27FC236}">
              <a16:creationId xmlns:a16="http://schemas.microsoft.com/office/drawing/2014/main" id="{00000000-0008-0000-0A00-0000F6000000}"/>
            </a:ext>
          </a:extLst>
        </xdr:cNvPr>
        <xdr:cNvSpPr>
          <a:spLocks noChangeAspect="1" noChangeArrowheads="1"/>
        </xdr:cNvSpPr>
      </xdr:nvSpPr>
      <xdr:spPr bwMode="auto">
        <a:xfrm>
          <a:off x="0" y="25155525"/>
          <a:ext cx="304800" cy="2041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207833</xdr:rowOff>
    </xdr:to>
    <xdr:sp macro="" textlink="">
      <xdr:nvSpPr>
        <xdr:cNvPr id="247" name="AutoShape 266" descr="+">
          <a:extLst>
            <a:ext uri="{FF2B5EF4-FFF2-40B4-BE49-F238E27FC236}">
              <a16:creationId xmlns:a16="http://schemas.microsoft.com/office/drawing/2014/main" id="{00000000-0008-0000-0A00-0000F7000000}"/>
            </a:ext>
          </a:extLst>
        </xdr:cNvPr>
        <xdr:cNvSpPr>
          <a:spLocks noChangeAspect="1" noChangeArrowheads="1"/>
        </xdr:cNvSpPr>
      </xdr:nvSpPr>
      <xdr:spPr bwMode="auto">
        <a:xfrm>
          <a:off x="0" y="25155525"/>
          <a:ext cx="304800" cy="20410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207835</xdr:rowOff>
    </xdr:to>
    <xdr:sp macro="" textlink="">
      <xdr:nvSpPr>
        <xdr:cNvPr id="248" name="AutoShape 267" descr="+">
          <a:extLst>
            <a:ext uri="{FF2B5EF4-FFF2-40B4-BE49-F238E27FC236}">
              <a16:creationId xmlns:a16="http://schemas.microsoft.com/office/drawing/2014/main" id="{00000000-0008-0000-0A00-0000F8000000}"/>
            </a:ext>
          </a:extLst>
        </xdr:cNvPr>
        <xdr:cNvSpPr>
          <a:spLocks noChangeAspect="1" noChangeArrowheads="1"/>
        </xdr:cNvSpPr>
      </xdr:nvSpPr>
      <xdr:spPr bwMode="auto">
        <a:xfrm>
          <a:off x="0" y="25155525"/>
          <a:ext cx="304800" cy="2041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207838</xdr:rowOff>
    </xdr:to>
    <xdr:sp macro="" textlink="">
      <xdr:nvSpPr>
        <xdr:cNvPr id="249" name="AutoShape 268" descr="+">
          <a:extLst>
            <a:ext uri="{FF2B5EF4-FFF2-40B4-BE49-F238E27FC236}">
              <a16:creationId xmlns:a16="http://schemas.microsoft.com/office/drawing/2014/main" id="{00000000-0008-0000-0A00-0000F9000000}"/>
            </a:ext>
          </a:extLst>
        </xdr:cNvPr>
        <xdr:cNvSpPr>
          <a:spLocks noChangeAspect="1" noChangeArrowheads="1"/>
        </xdr:cNvSpPr>
      </xdr:nvSpPr>
      <xdr:spPr bwMode="auto">
        <a:xfrm>
          <a:off x="0" y="25155525"/>
          <a:ext cx="304800" cy="2041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207836</xdr:rowOff>
    </xdr:to>
    <xdr:sp macro="" textlink="">
      <xdr:nvSpPr>
        <xdr:cNvPr id="250" name="AutoShape 269" descr="+">
          <a:extLst>
            <a:ext uri="{FF2B5EF4-FFF2-40B4-BE49-F238E27FC236}">
              <a16:creationId xmlns:a16="http://schemas.microsoft.com/office/drawing/2014/main" id="{00000000-0008-0000-0A00-0000FA000000}"/>
            </a:ext>
          </a:extLst>
        </xdr:cNvPr>
        <xdr:cNvSpPr>
          <a:spLocks noChangeAspect="1" noChangeArrowheads="1"/>
        </xdr:cNvSpPr>
      </xdr:nvSpPr>
      <xdr:spPr bwMode="auto">
        <a:xfrm>
          <a:off x="0" y="25155525"/>
          <a:ext cx="304800" cy="2041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207836</xdr:rowOff>
    </xdr:to>
    <xdr:sp macro="" textlink="">
      <xdr:nvSpPr>
        <xdr:cNvPr id="251" name="AutoShape 270" descr="+">
          <a:extLst>
            <a:ext uri="{FF2B5EF4-FFF2-40B4-BE49-F238E27FC236}">
              <a16:creationId xmlns:a16="http://schemas.microsoft.com/office/drawing/2014/main" id="{00000000-0008-0000-0A00-0000FB000000}"/>
            </a:ext>
          </a:extLst>
        </xdr:cNvPr>
        <xdr:cNvSpPr>
          <a:spLocks noChangeAspect="1" noChangeArrowheads="1"/>
        </xdr:cNvSpPr>
      </xdr:nvSpPr>
      <xdr:spPr bwMode="auto">
        <a:xfrm>
          <a:off x="0" y="25155525"/>
          <a:ext cx="304800" cy="2041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312610</xdr:rowOff>
    </xdr:to>
    <xdr:sp macro="" textlink="">
      <xdr:nvSpPr>
        <xdr:cNvPr id="252" name="AutoShape 271" descr="+">
          <a:extLst>
            <a:ext uri="{FF2B5EF4-FFF2-40B4-BE49-F238E27FC236}">
              <a16:creationId xmlns:a16="http://schemas.microsoft.com/office/drawing/2014/main" id="{00000000-0008-0000-0A00-0000FC000000}"/>
            </a:ext>
          </a:extLst>
        </xdr:cNvPr>
        <xdr:cNvSpPr>
          <a:spLocks noChangeAspect="1" noChangeArrowheads="1"/>
        </xdr:cNvSpPr>
      </xdr:nvSpPr>
      <xdr:spPr bwMode="auto">
        <a:xfrm>
          <a:off x="0" y="25155525"/>
          <a:ext cx="304800" cy="308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207836</xdr:rowOff>
    </xdr:to>
    <xdr:sp macro="" textlink="">
      <xdr:nvSpPr>
        <xdr:cNvPr id="253" name="AutoShape 272" descr="+">
          <a:extLst>
            <a:ext uri="{FF2B5EF4-FFF2-40B4-BE49-F238E27FC236}">
              <a16:creationId xmlns:a16="http://schemas.microsoft.com/office/drawing/2014/main" id="{00000000-0008-0000-0A00-0000FD000000}"/>
            </a:ext>
          </a:extLst>
        </xdr:cNvPr>
        <xdr:cNvSpPr>
          <a:spLocks noChangeAspect="1" noChangeArrowheads="1"/>
        </xdr:cNvSpPr>
      </xdr:nvSpPr>
      <xdr:spPr bwMode="auto">
        <a:xfrm>
          <a:off x="0" y="25155525"/>
          <a:ext cx="304800" cy="2041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175458</xdr:rowOff>
    </xdr:to>
    <xdr:sp macro="" textlink="">
      <xdr:nvSpPr>
        <xdr:cNvPr id="254" name="AutoShape 273" descr="+">
          <a:extLst>
            <a:ext uri="{FF2B5EF4-FFF2-40B4-BE49-F238E27FC236}">
              <a16:creationId xmlns:a16="http://schemas.microsoft.com/office/drawing/2014/main" id="{00000000-0008-0000-0A00-0000FE000000}"/>
            </a:ext>
          </a:extLst>
        </xdr:cNvPr>
        <xdr:cNvSpPr>
          <a:spLocks noChangeAspect="1" noChangeArrowheads="1"/>
        </xdr:cNvSpPr>
      </xdr:nvSpPr>
      <xdr:spPr bwMode="auto">
        <a:xfrm>
          <a:off x="0" y="25155525"/>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175458</xdr:rowOff>
    </xdr:to>
    <xdr:sp macro="" textlink="">
      <xdr:nvSpPr>
        <xdr:cNvPr id="255" name="AutoShape 274" descr="+">
          <a:extLst>
            <a:ext uri="{FF2B5EF4-FFF2-40B4-BE49-F238E27FC236}">
              <a16:creationId xmlns:a16="http://schemas.microsoft.com/office/drawing/2014/main" id="{00000000-0008-0000-0A00-0000FF000000}"/>
            </a:ext>
          </a:extLst>
        </xdr:cNvPr>
        <xdr:cNvSpPr>
          <a:spLocks noChangeAspect="1" noChangeArrowheads="1"/>
        </xdr:cNvSpPr>
      </xdr:nvSpPr>
      <xdr:spPr bwMode="auto">
        <a:xfrm>
          <a:off x="0" y="25155525"/>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189024</xdr:rowOff>
    </xdr:to>
    <xdr:sp macro="" textlink="">
      <xdr:nvSpPr>
        <xdr:cNvPr id="256" name="AutoShape 275" descr="+">
          <a:extLst>
            <a:ext uri="{FF2B5EF4-FFF2-40B4-BE49-F238E27FC236}">
              <a16:creationId xmlns:a16="http://schemas.microsoft.com/office/drawing/2014/main" id="{00000000-0008-0000-0A00-000000010000}"/>
            </a:ext>
          </a:extLst>
        </xdr:cNvPr>
        <xdr:cNvSpPr>
          <a:spLocks noChangeAspect="1" noChangeArrowheads="1"/>
        </xdr:cNvSpPr>
      </xdr:nvSpPr>
      <xdr:spPr bwMode="auto">
        <a:xfrm>
          <a:off x="0" y="25155525"/>
          <a:ext cx="304800" cy="18529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175458</xdr:rowOff>
    </xdr:to>
    <xdr:sp macro="" textlink="">
      <xdr:nvSpPr>
        <xdr:cNvPr id="257" name="AutoShape 276" descr="+">
          <a:extLst>
            <a:ext uri="{FF2B5EF4-FFF2-40B4-BE49-F238E27FC236}">
              <a16:creationId xmlns:a16="http://schemas.microsoft.com/office/drawing/2014/main" id="{00000000-0008-0000-0A00-000001010000}"/>
            </a:ext>
          </a:extLst>
        </xdr:cNvPr>
        <xdr:cNvSpPr>
          <a:spLocks noChangeAspect="1" noChangeArrowheads="1"/>
        </xdr:cNvSpPr>
      </xdr:nvSpPr>
      <xdr:spPr bwMode="auto">
        <a:xfrm>
          <a:off x="0" y="25155525"/>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214236</xdr:rowOff>
    </xdr:to>
    <xdr:sp macro="" textlink="">
      <xdr:nvSpPr>
        <xdr:cNvPr id="258" name="AutoShape 277" descr="+">
          <a:extLst>
            <a:ext uri="{FF2B5EF4-FFF2-40B4-BE49-F238E27FC236}">
              <a16:creationId xmlns:a16="http://schemas.microsoft.com/office/drawing/2014/main" id="{00000000-0008-0000-0A00-000002010000}"/>
            </a:ext>
          </a:extLst>
        </xdr:cNvPr>
        <xdr:cNvSpPr>
          <a:spLocks noChangeAspect="1" noChangeArrowheads="1"/>
        </xdr:cNvSpPr>
      </xdr:nvSpPr>
      <xdr:spPr bwMode="auto">
        <a:xfrm>
          <a:off x="0" y="25155525"/>
          <a:ext cx="304800" cy="2105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214238</xdr:rowOff>
    </xdr:to>
    <xdr:sp macro="" textlink="">
      <xdr:nvSpPr>
        <xdr:cNvPr id="259" name="AutoShape 278" descr="+">
          <a:extLst>
            <a:ext uri="{FF2B5EF4-FFF2-40B4-BE49-F238E27FC236}">
              <a16:creationId xmlns:a16="http://schemas.microsoft.com/office/drawing/2014/main" id="{00000000-0008-0000-0A00-000003010000}"/>
            </a:ext>
          </a:extLst>
        </xdr:cNvPr>
        <xdr:cNvSpPr>
          <a:spLocks noChangeAspect="1" noChangeArrowheads="1"/>
        </xdr:cNvSpPr>
      </xdr:nvSpPr>
      <xdr:spPr bwMode="auto">
        <a:xfrm>
          <a:off x="0" y="2515552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195188</xdr:rowOff>
    </xdr:to>
    <xdr:sp macro="" textlink="">
      <xdr:nvSpPr>
        <xdr:cNvPr id="260" name="AutoShape 279" descr="+">
          <a:extLst>
            <a:ext uri="{FF2B5EF4-FFF2-40B4-BE49-F238E27FC236}">
              <a16:creationId xmlns:a16="http://schemas.microsoft.com/office/drawing/2014/main" id="{00000000-0008-0000-0A00-000004010000}"/>
            </a:ext>
          </a:extLst>
        </xdr:cNvPr>
        <xdr:cNvSpPr>
          <a:spLocks noChangeAspect="1" noChangeArrowheads="1"/>
        </xdr:cNvSpPr>
      </xdr:nvSpPr>
      <xdr:spPr bwMode="auto">
        <a:xfrm>
          <a:off x="0" y="25155525"/>
          <a:ext cx="304800" cy="1914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214240</xdr:rowOff>
    </xdr:to>
    <xdr:sp macro="" textlink="">
      <xdr:nvSpPr>
        <xdr:cNvPr id="261" name="AutoShape 280" descr="+">
          <a:extLst>
            <a:ext uri="{FF2B5EF4-FFF2-40B4-BE49-F238E27FC236}">
              <a16:creationId xmlns:a16="http://schemas.microsoft.com/office/drawing/2014/main" id="{00000000-0008-0000-0A00-000005010000}"/>
            </a:ext>
          </a:extLst>
        </xdr:cNvPr>
        <xdr:cNvSpPr>
          <a:spLocks noChangeAspect="1" noChangeArrowheads="1"/>
        </xdr:cNvSpPr>
      </xdr:nvSpPr>
      <xdr:spPr bwMode="auto">
        <a:xfrm>
          <a:off x="0" y="25155525"/>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214237</xdr:rowOff>
    </xdr:to>
    <xdr:sp macro="" textlink="">
      <xdr:nvSpPr>
        <xdr:cNvPr id="262" name="AutoShape 281" descr="+">
          <a:extLst>
            <a:ext uri="{FF2B5EF4-FFF2-40B4-BE49-F238E27FC236}">
              <a16:creationId xmlns:a16="http://schemas.microsoft.com/office/drawing/2014/main" id="{00000000-0008-0000-0A00-000006010000}"/>
            </a:ext>
          </a:extLst>
        </xdr:cNvPr>
        <xdr:cNvSpPr>
          <a:spLocks noChangeAspect="1" noChangeArrowheads="1"/>
        </xdr:cNvSpPr>
      </xdr:nvSpPr>
      <xdr:spPr bwMode="auto">
        <a:xfrm>
          <a:off x="0" y="25155525"/>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214235</xdr:rowOff>
    </xdr:to>
    <xdr:sp macro="" textlink="">
      <xdr:nvSpPr>
        <xdr:cNvPr id="263" name="AutoShape 282" descr="+">
          <a:extLst>
            <a:ext uri="{FF2B5EF4-FFF2-40B4-BE49-F238E27FC236}">
              <a16:creationId xmlns:a16="http://schemas.microsoft.com/office/drawing/2014/main" id="{00000000-0008-0000-0A00-000007010000}"/>
            </a:ext>
          </a:extLst>
        </xdr:cNvPr>
        <xdr:cNvSpPr>
          <a:spLocks noChangeAspect="1" noChangeArrowheads="1"/>
        </xdr:cNvSpPr>
      </xdr:nvSpPr>
      <xdr:spPr bwMode="auto">
        <a:xfrm>
          <a:off x="0" y="25155525"/>
          <a:ext cx="304800" cy="2105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214239</xdr:rowOff>
    </xdr:to>
    <xdr:sp macro="" textlink="">
      <xdr:nvSpPr>
        <xdr:cNvPr id="264" name="AutoShape 283" descr="+">
          <a:extLst>
            <a:ext uri="{FF2B5EF4-FFF2-40B4-BE49-F238E27FC236}">
              <a16:creationId xmlns:a16="http://schemas.microsoft.com/office/drawing/2014/main" id="{00000000-0008-0000-0A00-000008010000}"/>
            </a:ext>
          </a:extLst>
        </xdr:cNvPr>
        <xdr:cNvSpPr>
          <a:spLocks noChangeAspect="1" noChangeArrowheads="1"/>
        </xdr:cNvSpPr>
      </xdr:nvSpPr>
      <xdr:spPr bwMode="auto">
        <a:xfrm>
          <a:off x="0" y="2515552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214239</xdr:rowOff>
    </xdr:to>
    <xdr:sp macro="" textlink="">
      <xdr:nvSpPr>
        <xdr:cNvPr id="265" name="AutoShape 284" descr="+">
          <a:extLst>
            <a:ext uri="{FF2B5EF4-FFF2-40B4-BE49-F238E27FC236}">
              <a16:creationId xmlns:a16="http://schemas.microsoft.com/office/drawing/2014/main" id="{00000000-0008-0000-0A00-000009010000}"/>
            </a:ext>
          </a:extLst>
        </xdr:cNvPr>
        <xdr:cNvSpPr>
          <a:spLocks noChangeAspect="1" noChangeArrowheads="1"/>
        </xdr:cNvSpPr>
      </xdr:nvSpPr>
      <xdr:spPr bwMode="auto">
        <a:xfrm>
          <a:off x="0" y="2515552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185663</xdr:rowOff>
    </xdr:to>
    <xdr:sp macro="" textlink="">
      <xdr:nvSpPr>
        <xdr:cNvPr id="266" name="AutoShape 285" descr="+">
          <a:extLst>
            <a:ext uri="{FF2B5EF4-FFF2-40B4-BE49-F238E27FC236}">
              <a16:creationId xmlns:a16="http://schemas.microsoft.com/office/drawing/2014/main" id="{00000000-0008-0000-0A00-00000A010000}"/>
            </a:ext>
          </a:extLst>
        </xdr:cNvPr>
        <xdr:cNvSpPr>
          <a:spLocks noChangeAspect="1" noChangeArrowheads="1"/>
        </xdr:cNvSpPr>
      </xdr:nvSpPr>
      <xdr:spPr bwMode="auto">
        <a:xfrm>
          <a:off x="0" y="25155525"/>
          <a:ext cx="304800" cy="18193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204431</xdr:rowOff>
    </xdr:to>
    <xdr:sp macro="" textlink="">
      <xdr:nvSpPr>
        <xdr:cNvPr id="267" name="AutoShape 286" descr="+">
          <a:extLst>
            <a:ext uri="{FF2B5EF4-FFF2-40B4-BE49-F238E27FC236}">
              <a16:creationId xmlns:a16="http://schemas.microsoft.com/office/drawing/2014/main" id="{00000000-0008-0000-0A00-00000B010000}"/>
            </a:ext>
          </a:extLst>
        </xdr:cNvPr>
        <xdr:cNvSpPr>
          <a:spLocks noChangeAspect="1" noChangeArrowheads="1"/>
        </xdr:cNvSpPr>
      </xdr:nvSpPr>
      <xdr:spPr bwMode="auto">
        <a:xfrm>
          <a:off x="0" y="25155525"/>
          <a:ext cx="304800" cy="2007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204434</xdr:rowOff>
    </xdr:to>
    <xdr:sp macro="" textlink="">
      <xdr:nvSpPr>
        <xdr:cNvPr id="268" name="AutoShape 287" descr="+">
          <a:extLst>
            <a:ext uri="{FF2B5EF4-FFF2-40B4-BE49-F238E27FC236}">
              <a16:creationId xmlns:a16="http://schemas.microsoft.com/office/drawing/2014/main" id="{00000000-0008-0000-0A00-00000C010000}"/>
            </a:ext>
          </a:extLst>
        </xdr:cNvPr>
        <xdr:cNvSpPr>
          <a:spLocks noChangeAspect="1" noChangeArrowheads="1"/>
        </xdr:cNvSpPr>
      </xdr:nvSpPr>
      <xdr:spPr bwMode="auto">
        <a:xfrm>
          <a:off x="0" y="25155525"/>
          <a:ext cx="304800" cy="20070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207834</xdr:rowOff>
    </xdr:to>
    <xdr:sp macro="" textlink="">
      <xdr:nvSpPr>
        <xdr:cNvPr id="269" name="AutoShape 288" descr="+">
          <a:extLst>
            <a:ext uri="{FF2B5EF4-FFF2-40B4-BE49-F238E27FC236}">
              <a16:creationId xmlns:a16="http://schemas.microsoft.com/office/drawing/2014/main" id="{00000000-0008-0000-0A00-00000D010000}"/>
            </a:ext>
          </a:extLst>
        </xdr:cNvPr>
        <xdr:cNvSpPr>
          <a:spLocks noChangeAspect="1" noChangeArrowheads="1"/>
        </xdr:cNvSpPr>
      </xdr:nvSpPr>
      <xdr:spPr bwMode="auto">
        <a:xfrm>
          <a:off x="0" y="25155525"/>
          <a:ext cx="304800" cy="20410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175457</xdr:rowOff>
    </xdr:to>
    <xdr:sp macro="" textlink="">
      <xdr:nvSpPr>
        <xdr:cNvPr id="270" name="AutoShape 289" descr="+">
          <a:extLst>
            <a:ext uri="{FF2B5EF4-FFF2-40B4-BE49-F238E27FC236}">
              <a16:creationId xmlns:a16="http://schemas.microsoft.com/office/drawing/2014/main" id="{00000000-0008-0000-0A00-00000E010000}"/>
            </a:ext>
          </a:extLst>
        </xdr:cNvPr>
        <xdr:cNvSpPr>
          <a:spLocks noChangeAspect="1" noChangeArrowheads="1"/>
        </xdr:cNvSpPr>
      </xdr:nvSpPr>
      <xdr:spPr bwMode="auto">
        <a:xfrm>
          <a:off x="0" y="25155525"/>
          <a:ext cx="304800" cy="17172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214239</xdr:rowOff>
    </xdr:to>
    <xdr:sp macro="" textlink="">
      <xdr:nvSpPr>
        <xdr:cNvPr id="271" name="AutoShape 290" descr="+">
          <a:extLst>
            <a:ext uri="{FF2B5EF4-FFF2-40B4-BE49-F238E27FC236}">
              <a16:creationId xmlns:a16="http://schemas.microsoft.com/office/drawing/2014/main" id="{00000000-0008-0000-0A00-00000F010000}"/>
            </a:ext>
          </a:extLst>
        </xdr:cNvPr>
        <xdr:cNvSpPr>
          <a:spLocks noChangeAspect="1" noChangeArrowheads="1"/>
        </xdr:cNvSpPr>
      </xdr:nvSpPr>
      <xdr:spPr bwMode="auto">
        <a:xfrm>
          <a:off x="0" y="2515552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214238</xdr:rowOff>
    </xdr:to>
    <xdr:sp macro="" textlink="">
      <xdr:nvSpPr>
        <xdr:cNvPr id="272" name="AutoShape 291" descr="+">
          <a:extLst>
            <a:ext uri="{FF2B5EF4-FFF2-40B4-BE49-F238E27FC236}">
              <a16:creationId xmlns:a16="http://schemas.microsoft.com/office/drawing/2014/main" id="{00000000-0008-0000-0A00-000010010000}"/>
            </a:ext>
          </a:extLst>
        </xdr:cNvPr>
        <xdr:cNvSpPr>
          <a:spLocks noChangeAspect="1" noChangeArrowheads="1"/>
        </xdr:cNvSpPr>
      </xdr:nvSpPr>
      <xdr:spPr bwMode="auto">
        <a:xfrm>
          <a:off x="0" y="2515552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214239</xdr:rowOff>
    </xdr:to>
    <xdr:sp macro="" textlink="">
      <xdr:nvSpPr>
        <xdr:cNvPr id="273" name="AutoShape 292" descr="+">
          <a:extLst>
            <a:ext uri="{FF2B5EF4-FFF2-40B4-BE49-F238E27FC236}">
              <a16:creationId xmlns:a16="http://schemas.microsoft.com/office/drawing/2014/main" id="{00000000-0008-0000-0A00-000011010000}"/>
            </a:ext>
          </a:extLst>
        </xdr:cNvPr>
        <xdr:cNvSpPr>
          <a:spLocks noChangeAspect="1" noChangeArrowheads="1"/>
        </xdr:cNvSpPr>
      </xdr:nvSpPr>
      <xdr:spPr bwMode="auto">
        <a:xfrm>
          <a:off x="0" y="2515552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214236</xdr:rowOff>
    </xdr:to>
    <xdr:sp macro="" textlink="">
      <xdr:nvSpPr>
        <xdr:cNvPr id="274" name="AutoShape 293" descr="+">
          <a:extLst>
            <a:ext uri="{FF2B5EF4-FFF2-40B4-BE49-F238E27FC236}">
              <a16:creationId xmlns:a16="http://schemas.microsoft.com/office/drawing/2014/main" id="{00000000-0008-0000-0A00-000012010000}"/>
            </a:ext>
          </a:extLst>
        </xdr:cNvPr>
        <xdr:cNvSpPr>
          <a:spLocks noChangeAspect="1" noChangeArrowheads="1"/>
        </xdr:cNvSpPr>
      </xdr:nvSpPr>
      <xdr:spPr bwMode="auto">
        <a:xfrm>
          <a:off x="0" y="25155525"/>
          <a:ext cx="304800" cy="2105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214239</xdr:rowOff>
    </xdr:to>
    <xdr:sp macro="" textlink="">
      <xdr:nvSpPr>
        <xdr:cNvPr id="275" name="AutoShape 294" descr="+">
          <a:extLst>
            <a:ext uri="{FF2B5EF4-FFF2-40B4-BE49-F238E27FC236}">
              <a16:creationId xmlns:a16="http://schemas.microsoft.com/office/drawing/2014/main" id="{00000000-0008-0000-0A00-000013010000}"/>
            </a:ext>
          </a:extLst>
        </xdr:cNvPr>
        <xdr:cNvSpPr>
          <a:spLocks noChangeAspect="1" noChangeArrowheads="1"/>
        </xdr:cNvSpPr>
      </xdr:nvSpPr>
      <xdr:spPr bwMode="auto">
        <a:xfrm>
          <a:off x="0" y="2515552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308806</xdr:rowOff>
    </xdr:to>
    <xdr:sp macro="" textlink="">
      <xdr:nvSpPr>
        <xdr:cNvPr id="276" name="AutoShape 295" descr="+">
          <a:extLst>
            <a:ext uri="{FF2B5EF4-FFF2-40B4-BE49-F238E27FC236}">
              <a16:creationId xmlns:a16="http://schemas.microsoft.com/office/drawing/2014/main" id="{00000000-0008-0000-0A00-000014010000}"/>
            </a:ext>
          </a:extLst>
        </xdr:cNvPr>
        <xdr:cNvSpPr>
          <a:spLocks noChangeAspect="1" noChangeArrowheads="1"/>
        </xdr:cNvSpPr>
      </xdr:nvSpPr>
      <xdr:spPr bwMode="auto">
        <a:xfrm>
          <a:off x="0" y="25155525"/>
          <a:ext cx="304800" cy="30507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185665</xdr:rowOff>
    </xdr:to>
    <xdr:sp macro="" textlink="">
      <xdr:nvSpPr>
        <xdr:cNvPr id="277" name="AutoShape 296" descr="+">
          <a:extLst>
            <a:ext uri="{FF2B5EF4-FFF2-40B4-BE49-F238E27FC236}">
              <a16:creationId xmlns:a16="http://schemas.microsoft.com/office/drawing/2014/main" id="{00000000-0008-0000-0A00-000015010000}"/>
            </a:ext>
          </a:extLst>
        </xdr:cNvPr>
        <xdr:cNvSpPr>
          <a:spLocks noChangeAspect="1" noChangeArrowheads="1"/>
        </xdr:cNvSpPr>
      </xdr:nvSpPr>
      <xdr:spPr bwMode="auto">
        <a:xfrm>
          <a:off x="0" y="25155525"/>
          <a:ext cx="304800" cy="1819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310205</xdr:rowOff>
    </xdr:to>
    <xdr:sp macro="" textlink="">
      <xdr:nvSpPr>
        <xdr:cNvPr id="278" name="AutoShape 297" descr="+">
          <a:extLst>
            <a:ext uri="{FF2B5EF4-FFF2-40B4-BE49-F238E27FC236}">
              <a16:creationId xmlns:a16="http://schemas.microsoft.com/office/drawing/2014/main" id="{00000000-0008-0000-0A00-000016010000}"/>
            </a:ext>
          </a:extLst>
        </xdr:cNvPr>
        <xdr:cNvSpPr>
          <a:spLocks noChangeAspect="1" noChangeArrowheads="1"/>
        </xdr:cNvSpPr>
      </xdr:nvSpPr>
      <xdr:spPr bwMode="auto">
        <a:xfrm>
          <a:off x="0" y="25155525"/>
          <a:ext cx="304800" cy="30647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45</xdr:row>
      <xdr:rowOff>0</xdr:rowOff>
    </xdr:from>
    <xdr:to>
      <xdr:col>1</xdr:col>
      <xdr:colOff>304800</xdr:colOff>
      <xdr:row>45</xdr:row>
      <xdr:rowOff>214239</xdr:rowOff>
    </xdr:to>
    <xdr:sp macro="" textlink="">
      <xdr:nvSpPr>
        <xdr:cNvPr id="279" name="AutoShape 298" descr="+">
          <a:extLst>
            <a:ext uri="{FF2B5EF4-FFF2-40B4-BE49-F238E27FC236}">
              <a16:creationId xmlns:a16="http://schemas.microsoft.com/office/drawing/2014/main" id="{00000000-0008-0000-0A00-000017010000}"/>
            </a:ext>
          </a:extLst>
        </xdr:cNvPr>
        <xdr:cNvSpPr>
          <a:spLocks noChangeAspect="1" noChangeArrowheads="1"/>
        </xdr:cNvSpPr>
      </xdr:nvSpPr>
      <xdr:spPr bwMode="auto">
        <a:xfrm>
          <a:off x="0" y="2515552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xdr:col>
      <xdr:colOff>0</xdr:colOff>
      <xdr:row>45</xdr:row>
      <xdr:rowOff>0</xdr:rowOff>
    </xdr:from>
    <xdr:ext cx="304800" cy="166687"/>
    <xdr:sp macro="" textlink="">
      <xdr:nvSpPr>
        <xdr:cNvPr id="282" name="AutoShape 80" descr="+">
          <a:extLst>
            <a:ext uri="{FF2B5EF4-FFF2-40B4-BE49-F238E27FC236}">
              <a16:creationId xmlns:a16="http://schemas.microsoft.com/office/drawing/2014/main" id="{00000000-0008-0000-0A00-00001A010000}"/>
            </a:ext>
          </a:extLst>
        </xdr:cNvPr>
        <xdr:cNvSpPr>
          <a:spLocks noChangeAspect="1" noChangeArrowheads="1"/>
        </xdr:cNvSpPr>
      </xdr:nvSpPr>
      <xdr:spPr bwMode="auto">
        <a:xfrm>
          <a:off x="0" y="21716999"/>
          <a:ext cx="304800" cy="1666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1496786</xdr:colOff>
      <xdr:row>45</xdr:row>
      <xdr:rowOff>0</xdr:rowOff>
    </xdr:from>
    <xdr:ext cx="304800" cy="166687"/>
    <xdr:sp macro="" textlink="">
      <xdr:nvSpPr>
        <xdr:cNvPr id="283" name="AutoShape 80" descr="+">
          <a:extLst>
            <a:ext uri="{FF2B5EF4-FFF2-40B4-BE49-F238E27FC236}">
              <a16:creationId xmlns:a16="http://schemas.microsoft.com/office/drawing/2014/main" id="{00000000-0008-0000-0A00-00001B010000}"/>
            </a:ext>
          </a:extLst>
        </xdr:cNvPr>
        <xdr:cNvSpPr>
          <a:spLocks noChangeAspect="1" noChangeArrowheads="1"/>
        </xdr:cNvSpPr>
      </xdr:nvSpPr>
      <xdr:spPr bwMode="auto">
        <a:xfrm>
          <a:off x="1496786" y="21907499"/>
          <a:ext cx="304800" cy="1666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8965</xdr:colOff>
      <xdr:row>14</xdr:row>
      <xdr:rowOff>28577</xdr:rowOff>
    </xdr:from>
    <xdr:to>
      <xdr:col>3</xdr:col>
      <xdr:colOff>1393772</xdr:colOff>
      <xdr:row>14</xdr:row>
      <xdr:rowOff>3454612</xdr:rowOff>
    </xdr:to>
    <xdr:pic>
      <xdr:nvPicPr>
        <xdr:cNvPr id="289" name="Picture 288">
          <a:extLst>
            <a:ext uri="{FF2B5EF4-FFF2-40B4-BE49-F238E27FC236}">
              <a16:creationId xmlns:a16="http://schemas.microsoft.com/office/drawing/2014/main" id="{00000000-0008-0000-0A00-000021010000}"/>
            </a:ext>
          </a:extLst>
        </xdr:cNvPr>
        <xdr:cNvPicPr>
          <a:picLocks noChangeAspect="1"/>
        </xdr:cNvPicPr>
      </xdr:nvPicPr>
      <xdr:blipFill rotWithShape="1">
        <a:blip xmlns:r="http://schemas.openxmlformats.org/officeDocument/2006/relationships" r:embed="rId1"/>
        <a:srcRect l="1609" t="6734" r="1851" b="2920"/>
        <a:stretch/>
      </xdr:blipFill>
      <xdr:spPr>
        <a:xfrm>
          <a:off x="189940" y="4114802"/>
          <a:ext cx="7633207" cy="3426035"/>
        </a:xfrm>
        <a:prstGeom prst="rect">
          <a:avLst/>
        </a:prstGeom>
        <a:ln>
          <a:solidFill>
            <a:schemeClr val="tx1"/>
          </a:solidFill>
        </a:ln>
      </xdr:spPr>
    </xdr:pic>
    <xdr:clientData/>
  </xdr:twoCellAnchor>
  <xdr:twoCellAnchor editAs="oneCell">
    <xdr:from>
      <xdr:col>3</xdr:col>
      <xdr:colOff>1543181</xdr:colOff>
      <xdr:row>47</xdr:row>
      <xdr:rowOff>94125</xdr:rowOff>
    </xdr:from>
    <xdr:to>
      <xdr:col>6</xdr:col>
      <xdr:colOff>674030</xdr:colOff>
      <xdr:row>47</xdr:row>
      <xdr:rowOff>3290587</xdr:rowOff>
    </xdr:to>
    <xdr:pic>
      <xdr:nvPicPr>
        <xdr:cNvPr id="295" name="Picture 294">
          <a:extLst>
            <a:ext uri="{FF2B5EF4-FFF2-40B4-BE49-F238E27FC236}">
              <a16:creationId xmlns:a16="http://schemas.microsoft.com/office/drawing/2014/main" id="{00000000-0008-0000-0A00-000027010000}"/>
            </a:ext>
          </a:extLst>
        </xdr:cNvPr>
        <xdr:cNvPicPr>
          <a:picLocks noChangeAspect="1"/>
        </xdr:cNvPicPr>
      </xdr:nvPicPr>
      <xdr:blipFill>
        <a:blip xmlns:r="http://schemas.openxmlformats.org/officeDocument/2006/relationships" r:embed="rId2"/>
        <a:stretch>
          <a:fillRect/>
        </a:stretch>
      </xdr:blipFill>
      <xdr:spPr>
        <a:xfrm>
          <a:off x="7965752" y="18028339"/>
          <a:ext cx="3662028" cy="3196462"/>
        </a:xfrm>
        <a:prstGeom prst="rect">
          <a:avLst/>
        </a:prstGeom>
        <a:ln>
          <a:solidFill>
            <a:schemeClr val="tx1"/>
          </a:solidFill>
        </a:ln>
      </xdr:spPr>
    </xdr:pic>
    <xdr:clientData/>
  </xdr:twoCellAnchor>
  <xdr:twoCellAnchor editAs="oneCell">
    <xdr:from>
      <xdr:col>1</xdr:col>
      <xdr:colOff>22676</xdr:colOff>
      <xdr:row>47</xdr:row>
      <xdr:rowOff>87246</xdr:rowOff>
    </xdr:from>
    <xdr:to>
      <xdr:col>3</xdr:col>
      <xdr:colOff>1277616</xdr:colOff>
      <xdr:row>47</xdr:row>
      <xdr:rowOff>4184814</xdr:rowOff>
    </xdr:to>
    <xdr:pic>
      <xdr:nvPicPr>
        <xdr:cNvPr id="287" name="Picture 286">
          <a:extLst>
            <a:ext uri="{FF2B5EF4-FFF2-40B4-BE49-F238E27FC236}">
              <a16:creationId xmlns:a16="http://schemas.microsoft.com/office/drawing/2014/main" id="{00000000-0008-0000-0A00-00001F010000}"/>
            </a:ext>
          </a:extLst>
        </xdr:cNvPr>
        <xdr:cNvPicPr>
          <a:picLocks noChangeAspect="1"/>
        </xdr:cNvPicPr>
      </xdr:nvPicPr>
      <xdr:blipFill>
        <a:blip xmlns:r="http://schemas.openxmlformats.org/officeDocument/2006/relationships" r:embed="rId3"/>
        <a:stretch>
          <a:fillRect/>
        </a:stretch>
      </xdr:blipFill>
      <xdr:spPr>
        <a:xfrm>
          <a:off x="199569" y="26308210"/>
          <a:ext cx="7500618" cy="4097568"/>
        </a:xfrm>
        <a:prstGeom prst="rect">
          <a:avLst/>
        </a:prstGeom>
        <a:ln>
          <a:solidFill>
            <a:schemeClr val="tx1"/>
          </a:solidFill>
        </a:ln>
      </xdr:spPr>
    </xdr:pic>
    <xdr:clientData/>
  </xdr:twoCellAnchor>
  <xdr:twoCellAnchor editAs="oneCell">
    <xdr:from>
      <xdr:col>5</xdr:col>
      <xdr:colOff>161925</xdr:colOff>
      <xdr:row>0</xdr:row>
      <xdr:rowOff>123825</xdr:rowOff>
    </xdr:from>
    <xdr:to>
      <xdr:col>7</xdr:col>
      <xdr:colOff>626452</xdr:colOff>
      <xdr:row>5</xdr:row>
      <xdr:rowOff>169760</xdr:rowOff>
    </xdr:to>
    <xdr:pic>
      <xdr:nvPicPr>
        <xdr:cNvPr id="286" name="Picture 285">
          <a:extLst>
            <a:ext uri="{FF2B5EF4-FFF2-40B4-BE49-F238E27FC236}">
              <a16:creationId xmlns:a16="http://schemas.microsoft.com/office/drawing/2014/main" id="{C16DBA83-387E-47C2-93E5-FF1283285CC0}"/>
            </a:ext>
          </a:extLst>
        </xdr:cNvPr>
        <xdr:cNvPicPr>
          <a:picLocks noChangeAspect="1"/>
        </xdr:cNvPicPr>
      </xdr:nvPicPr>
      <xdr:blipFill>
        <a:blip xmlns:r="http://schemas.openxmlformats.org/officeDocument/2006/relationships" r:embed="rId4"/>
        <a:stretch>
          <a:fillRect/>
        </a:stretch>
      </xdr:blipFill>
      <xdr:spPr>
        <a:xfrm>
          <a:off x="9820275" y="123825"/>
          <a:ext cx="2702902" cy="107463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0</xdr:colOff>
      <xdr:row>13</xdr:row>
      <xdr:rowOff>0</xdr:rowOff>
    </xdr:from>
    <xdr:to>
      <xdr:col>2</xdr:col>
      <xdr:colOff>304800</xdr:colOff>
      <xdr:row>13</xdr:row>
      <xdr:rowOff>171731</xdr:rowOff>
    </xdr:to>
    <xdr:sp macro="" textlink="">
      <xdr:nvSpPr>
        <xdr:cNvPr id="2" name="AutoShape 4" descr="+">
          <a:extLst>
            <a:ext uri="{FF2B5EF4-FFF2-40B4-BE49-F238E27FC236}">
              <a16:creationId xmlns:a16="http://schemas.microsoft.com/office/drawing/2014/main" id="{E89FC88B-F8F8-41C3-98C5-A601E70507F6}"/>
            </a:ext>
          </a:extLst>
        </xdr:cNvPr>
        <xdr:cNvSpPr>
          <a:spLocks noChangeAspect="1" noChangeArrowheads="1"/>
        </xdr:cNvSpPr>
      </xdr:nvSpPr>
      <xdr:spPr bwMode="auto">
        <a:xfrm>
          <a:off x="1885950" y="14363700"/>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171730</xdr:rowOff>
    </xdr:to>
    <xdr:sp macro="" textlink="">
      <xdr:nvSpPr>
        <xdr:cNvPr id="3" name="AutoShape 5" descr="+">
          <a:extLst>
            <a:ext uri="{FF2B5EF4-FFF2-40B4-BE49-F238E27FC236}">
              <a16:creationId xmlns:a16="http://schemas.microsoft.com/office/drawing/2014/main" id="{1FFC1D42-4D10-4E7D-8BDA-F1E2C4193D4E}"/>
            </a:ext>
          </a:extLst>
        </xdr:cNvPr>
        <xdr:cNvSpPr>
          <a:spLocks noChangeAspect="1" noChangeArrowheads="1"/>
        </xdr:cNvSpPr>
      </xdr:nvSpPr>
      <xdr:spPr bwMode="auto">
        <a:xfrm>
          <a:off x="1885950" y="14363700"/>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201707</xdr:rowOff>
    </xdr:to>
    <xdr:sp macro="" textlink="">
      <xdr:nvSpPr>
        <xdr:cNvPr id="4" name="AutoShape 6" descr="+">
          <a:extLst>
            <a:ext uri="{FF2B5EF4-FFF2-40B4-BE49-F238E27FC236}">
              <a16:creationId xmlns:a16="http://schemas.microsoft.com/office/drawing/2014/main" id="{6590FBCB-85DA-4A14-8CD1-F011B55B961D}"/>
            </a:ext>
          </a:extLst>
        </xdr:cNvPr>
        <xdr:cNvSpPr>
          <a:spLocks noChangeAspect="1" noChangeArrowheads="1"/>
        </xdr:cNvSpPr>
      </xdr:nvSpPr>
      <xdr:spPr bwMode="auto">
        <a:xfrm>
          <a:off x="1885950" y="14363700"/>
          <a:ext cx="304800" cy="2017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174665</xdr:rowOff>
    </xdr:to>
    <xdr:sp macro="" textlink="">
      <xdr:nvSpPr>
        <xdr:cNvPr id="5" name="AutoShape 7" descr="+">
          <a:extLst>
            <a:ext uri="{FF2B5EF4-FFF2-40B4-BE49-F238E27FC236}">
              <a16:creationId xmlns:a16="http://schemas.microsoft.com/office/drawing/2014/main" id="{6F242B36-76DD-407E-A4A3-1254282746B2}"/>
            </a:ext>
          </a:extLst>
        </xdr:cNvPr>
        <xdr:cNvSpPr>
          <a:spLocks noChangeAspect="1" noChangeArrowheads="1"/>
        </xdr:cNvSpPr>
      </xdr:nvSpPr>
      <xdr:spPr bwMode="auto">
        <a:xfrm>
          <a:off x="1885950" y="14363700"/>
          <a:ext cx="304800" cy="1746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201708</xdr:rowOff>
    </xdr:to>
    <xdr:sp macro="" textlink="">
      <xdr:nvSpPr>
        <xdr:cNvPr id="6" name="AutoShape 8" descr="+">
          <a:extLst>
            <a:ext uri="{FF2B5EF4-FFF2-40B4-BE49-F238E27FC236}">
              <a16:creationId xmlns:a16="http://schemas.microsoft.com/office/drawing/2014/main" id="{6976DA58-2725-4341-9BFA-107E15715283}"/>
            </a:ext>
          </a:extLst>
        </xdr:cNvPr>
        <xdr:cNvSpPr>
          <a:spLocks noChangeAspect="1" noChangeArrowheads="1"/>
        </xdr:cNvSpPr>
      </xdr:nvSpPr>
      <xdr:spPr bwMode="auto">
        <a:xfrm>
          <a:off x="1885950" y="14363700"/>
          <a:ext cx="304800" cy="2017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201705</xdr:rowOff>
    </xdr:to>
    <xdr:sp macro="" textlink="">
      <xdr:nvSpPr>
        <xdr:cNvPr id="7" name="AutoShape 9" descr="+">
          <a:extLst>
            <a:ext uri="{FF2B5EF4-FFF2-40B4-BE49-F238E27FC236}">
              <a16:creationId xmlns:a16="http://schemas.microsoft.com/office/drawing/2014/main" id="{10442C02-7D88-4D1D-8891-715BAA3FDBD3}"/>
            </a:ext>
          </a:extLst>
        </xdr:cNvPr>
        <xdr:cNvSpPr>
          <a:spLocks noChangeAspect="1" noChangeArrowheads="1"/>
        </xdr:cNvSpPr>
      </xdr:nvSpPr>
      <xdr:spPr bwMode="auto">
        <a:xfrm>
          <a:off x="1885950" y="14363700"/>
          <a:ext cx="304800" cy="20170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201708</xdr:rowOff>
    </xdr:to>
    <xdr:sp macro="" textlink="">
      <xdr:nvSpPr>
        <xdr:cNvPr id="8" name="AutoShape 10" descr="+">
          <a:extLst>
            <a:ext uri="{FF2B5EF4-FFF2-40B4-BE49-F238E27FC236}">
              <a16:creationId xmlns:a16="http://schemas.microsoft.com/office/drawing/2014/main" id="{E63E7CAC-0DDE-427B-8995-F69A0E6D6DE0}"/>
            </a:ext>
          </a:extLst>
        </xdr:cNvPr>
        <xdr:cNvSpPr>
          <a:spLocks noChangeAspect="1" noChangeArrowheads="1"/>
        </xdr:cNvSpPr>
      </xdr:nvSpPr>
      <xdr:spPr bwMode="auto">
        <a:xfrm>
          <a:off x="1885950" y="14363700"/>
          <a:ext cx="304800" cy="2017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192180</xdr:rowOff>
    </xdr:to>
    <xdr:sp macro="" textlink="">
      <xdr:nvSpPr>
        <xdr:cNvPr id="9" name="AutoShape 11" descr="+">
          <a:extLst>
            <a:ext uri="{FF2B5EF4-FFF2-40B4-BE49-F238E27FC236}">
              <a16:creationId xmlns:a16="http://schemas.microsoft.com/office/drawing/2014/main" id="{69EDDA06-A4BA-46DA-825D-B577082B8A74}"/>
            </a:ext>
          </a:extLst>
        </xdr:cNvPr>
        <xdr:cNvSpPr>
          <a:spLocks noChangeAspect="1" noChangeArrowheads="1"/>
        </xdr:cNvSpPr>
      </xdr:nvSpPr>
      <xdr:spPr bwMode="auto">
        <a:xfrm>
          <a:off x="1885950" y="14363700"/>
          <a:ext cx="304800" cy="1921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63068</xdr:rowOff>
    </xdr:to>
    <xdr:sp macro="" textlink="">
      <xdr:nvSpPr>
        <xdr:cNvPr id="10" name="AutoShape 12" descr="+">
          <a:extLst>
            <a:ext uri="{FF2B5EF4-FFF2-40B4-BE49-F238E27FC236}">
              <a16:creationId xmlns:a16="http://schemas.microsoft.com/office/drawing/2014/main" id="{B60E5FAB-AF82-4BF2-89B2-8D3620501E2C}"/>
            </a:ext>
          </a:extLst>
        </xdr:cNvPr>
        <xdr:cNvSpPr>
          <a:spLocks noChangeAspect="1" noChangeArrowheads="1"/>
        </xdr:cNvSpPr>
      </xdr:nvSpPr>
      <xdr:spPr bwMode="auto">
        <a:xfrm>
          <a:off x="1885950" y="14363700"/>
          <a:ext cx="304800" cy="27054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173131</xdr:rowOff>
    </xdr:to>
    <xdr:sp macro="" textlink="">
      <xdr:nvSpPr>
        <xdr:cNvPr id="11" name="AutoShape 13" descr="+">
          <a:extLst>
            <a:ext uri="{FF2B5EF4-FFF2-40B4-BE49-F238E27FC236}">
              <a16:creationId xmlns:a16="http://schemas.microsoft.com/office/drawing/2014/main" id="{8B8AD967-5A44-46DF-A8DC-012610CCC3C5}"/>
            </a:ext>
          </a:extLst>
        </xdr:cNvPr>
        <xdr:cNvSpPr>
          <a:spLocks noChangeAspect="1" noChangeArrowheads="1"/>
        </xdr:cNvSpPr>
      </xdr:nvSpPr>
      <xdr:spPr bwMode="auto">
        <a:xfrm>
          <a:off x="1885950" y="14363700"/>
          <a:ext cx="304800" cy="17313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201708</xdr:rowOff>
    </xdr:to>
    <xdr:sp macro="" textlink="">
      <xdr:nvSpPr>
        <xdr:cNvPr id="12" name="AutoShape 14" descr="+">
          <a:extLst>
            <a:ext uri="{FF2B5EF4-FFF2-40B4-BE49-F238E27FC236}">
              <a16:creationId xmlns:a16="http://schemas.microsoft.com/office/drawing/2014/main" id="{D8FE2E4C-1019-486A-A13B-5657228A5E5F}"/>
            </a:ext>
          </a:extLst>
        </xdr:cNvPr>
        <xdr:cNvSpPr>
          <a:spLocks noChangeAspect="1" noChangeArrowheads="1"/>
        </xdr:cNvSpPr>
      </xdr:nvSpPr>
      <xdr:spPr bwMode="auto">
        <a:xfrm>
          <a:off x="1885950" y="14363700"/>
          <a:ext cx="304800" cy="2017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201705</xdr:rowOff>
    </xdr:to>
    <xdr:sp macro="" textlink="">
      <xdr:nvSpPr>
        <xdr:cNvPr id="13" name="AutoShape 15" descr="+">
          <a:extLst>
            <a:ext uri="{FF2B5EF4-FFF2-40B4-BE49-F238E27FC236}">
              <a16:creationId xmlns:a16="http://schemas.microsoft.com/office/drawing/2014/main" id="{F1AAA840-F1A6-48C9-A0DB-46ECA8F39D62}"/>
            </a:ext>
          </a:extLst>
        </xdr:cNvPr>
        <xdr:cNvSpPr>
          <a:spLocks noChangeAspect="1" noChangeArrowheads="1"/>
        </xdr:cNvSpPr>
      </xdr:nvSpPr>
      <xdr:spPr bwMode="auto">
        <a:xfrm>
          <a:off x="1885950" y="14363700"/>
          <a:ext cx="304800" cy="20170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191901</xdr:rowOff>
    </xdr:to>
    <xdr:sp macro="" textlink="">
      <xdr:nvSpPr>
        <xdr:cNvPr id="14" name="AutoShape 16" descr="+">
          <a:extLst>
            <a:ext uri="{FF2B5EF4-FFF2-40B4-BE49-F238E27FC236}">
              <a16:creationId xmlns:a16="http://schemas.microsoft.com/office/drawing/2014/main" id="{987CE4F6-6FEE-4E7A-A9C3-097B3337B69A}"/>
            </a:ext>
          </a:extLst>
        </xdr:cNvPr>
        <xdr:cNvSpPr>
          <a:spLocks noChangeAspect="1" noChangeArrowheads="1"/>
        </xdr:cNvSpPr>
      </xdr:nvSpPr>
      <xdr:spPr bwMode="auto">
        <a:xfrm>
          <a:off x="1885950" y="14363700"/>
          <a:ext cx="304800" cy="1919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178133</xdr:rowOff>
    </xdr:to>
    <xdr:sp macro="" textlink="">
      <xdr:nvSpPr>
        <xdr:cNvPr id="15" name="AutoShape 17" descr="+">
          <a:extLst>
            <a:ext uri="{FF2B5EF4-FFF2-40B4-BE49-F238E27FC236}">
              <a16:creationId xmlns:a16="http://schemas.microsoft.com/office/drawing/2014/main" id="{242A7CC9-1AE3-4395-AD21-5D7F1CAC3A6C}"/>
            </a:ext>
          </a:extLst>
        </xdr:cNvPr>
        <xdr:cNvSpPr>
          <a:spLocks noChangeAspect="1" noChangeArrowheads="1"/>
        </xdr:cNvSpPr>
      </xdr:nvSpPr>
      <xdr:spPr bwMode="auto">
        <a:xfrm>
          <a:off x="1885950" y="14363700"/>
          <a:ext cx="304800" cy="17813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178135</xdr:rowOff>
    </xdr:to>
    <xdr:sp macro="" textlink="">
      <xdr:nvSpPr>
        <xdr:cNvPr id="16" name="AutoShape 18" descr="+">
          <a:extLst>
            <a:ext uri="{FF2B5EF4-FFF2-40B4-BE49-F238E27FC236}">
              <a16:creationId xmlns:a16="http://schemas.microsoft.com/office/drawing/2014/main" id="{7F1D2F72-1639-4027-983B-9B94D495367A}"/>
            </a:ext>
          </a:extLst>
        </xdr:cNvPr>
        <xdr:cNvSpPr>
          <a:spLocks noChangeAspect="1" noChangeArrowheads="1"/>
        </xdr:cNvSpPr>
      </xdr:nvSpPr>
      <xdr:spPr bwMode="auto">
        <a:xfrm>
          <a:off x="1885950" y="14363700"/>
          <a:ext cx="304800" cy="17813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179535</xdr:rowOff>
    </xdr:to>
    <xdr:sp macro="" textlink="">
      <xdr:nvSpPr>
        <xdr:cNvPr id="17" name="AutoShape 19" descr="+">
          <a:extLst>
            <a:ext uri="{FF2B5EF4-FFF2-40B4-BE49-F238E27FC236}">
              <a16:creationId xmlns:a16="http://schemas.microsoft.com/office/drawing/2014/main" id="{14928E8B-9FA4-4FC4-8500-628BA6FCA661}"/>
            </a:ext>
          </a:extLst>
        </xdr:cNvPr>
        <xdr:cNvSpPr>
          <a:spLocks noChangeAspect="1" noChangeArrowheads="1"/>
        </xdr:cNvSpPr>
      </xdr:nvSpPr>
      <xdr:spPr bwMode="auto">
        <a:xfrm>
          <a:off x="1885950" y="14363700"/>
          <a:ext cx="304800" cy="17953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178132</xdr:rowOff>
    </xdr:to>
    <xdr:sp macro="" textlink="">
      <xdr:nvSpPr>
        <xdr:cNvPr id="18" name="AutoShape 20" descr="+">
          <a:extLst>
            <a:ext uri="{FF2B5EF4-FFF2-40B4-BE49-F238E27FC236}">
              <a16:creationId xmlns:a16="http://schemas.microsoft.com/office/drawing/2014/main" id="{7D3442CC-483D-4515-9579-B1D947E48726}"/>
            </a:ext>
          </a:extLst>
        </xdr:cNvPr>
        <xdr:cNvSpPr>
          <a:spLocks noChangeAspect="1" noChangeArrowheads="1"/>
        </xdr:cNvSpPr>
      </xdr:nvSpPr>
      <xdr:spPr bwMode="auto">
        <a:xfrm>
          <a:off x="1885950" y="14363700"/>
          <a:ext cx="304800" cy="17813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1047</xdr:rowOff>
    </xdr:to>
    <xdr:sp macro="" textlink="">
      <xdr:nvSpPr>
        <xdr:cNvPr id="19" name="AutoShape 21" descr="+">
          <a:extLst>
            <a:ext uri="{FF2B5EF4-FFF2-40B4-BE49-F238E27FC236}">
              <a16:creationId xmlns:a16="http://schemas.microsoft.com/office/drawing/2014/main" id="{3A0865C0-D992-4574-B3EC-6E7D1CE59D9C}"/>
            </a:ext>
          </a:extLst>
        </xdr:cNvPr>
        <xdr:cNvSpPr>
          <a:spLocks noChangeAspect="1" noChangeArrowheads="1"/>
        </xdr:cNvSpPr>
      </xdr:nvSpPr>
      <xdr:spPr bwMode="auto">
        <a:xfrm>
          <a:off x="1885950" y="14363700"/>
          <a:ext cx="304800" cy="2081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1042</xdr:rowOff>
    </xdr:to>
    <xdr:sp macro="" textlink="">
      <xdr:nvSpPr>
        <xdr:cNvPr id="20" name="AutoShape 22" descr="+">
          <a:extLst>
            <a:ext uri="{FF2B5EF4-FFF2-40B4-BE49-F238E27FC236}">
              <a16:creationId xmlns:a16="http://schemas.microsoft.com/office/drawing/2014/main" id="{27006FE0-9A1A-4E4D-BECB-21ED0C402645}"/>
            </a:ext>
          </a:extLst>
        </xdr:cNvPr>
        <xdr:cNvSpPr>
          <a:spLocks noChangeAspect="1" noChangeArrowheads="1"/>
        </xdr:cNvSpPr>
      </xdr:nvSpPr>
      <xdr:spPr bwMode="auto">
        <a:xfrm>
          <a:off x="1885950" y="14363700"/>
          <a:ext cx="304800" cy="2081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1046</xdr:rowOff>
    </xdr:to>
    <xdr:sp macro="" textlink="">
      <xdr:nvSpPr>
        <xdr:cNvPr id="21" name="AutoShape 23" descr="+">
          <a:extLst>
            <a:ext uri="{FF2B5EF4-FFF2-40B4-BE49-F238E27FC236}">
              <a16:creationId xmlns:a16="http://schemas.microsoft.com/office/drawing/2014/main" id="{5BD341AE-D930-4A99-918F-CFCB8923192B}"/>
            </a:ext>
          </a:extLst>
        </xdr:cNvPr>
        <xdr:cNvSpPr>
          <a:spLocks noChangeAspect="1" noChangeArrowheads="1"/>
        </xdr:cNvSpPr>
      </xdr:nvSpPr>
      <xdr:spPr bwMode="auto">
        <a:xfrm>
          <a:off x="1885950" y="14363700"/>
          <a:ext cx="304800" cy="2081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198584</xdr:rowOff>
    </xdr:to>
    <xdr:sp macro="" textlink="">
      <xdr:nvSpPr>
        <xdr:cNvPr id="22" name="AutoShape 24" descr="+">
          <a:extLst>
            <a:ext uri="{FF2B5EF4-FFF2-40B4-BE49-F238E27FC236}">
              <a16:creationId xmlns:a16="http://schemas.microsoft.com/office/drawing/2014/main" id="{E91071EA-88F3-4DB1-9BB2-4CB2CE6948DA}"/>
            </a:ext>
          </a:extLst>
        </xdr:cNvPr>
        <xdr:cNvSpPr>
          <a:spLocks noChangeAspect="1" noChangeArrowheads="1"/>
        </xdr:cNvSpPr>
      </xdr:nvSpPr>
      <xdr:spPr bwMode="auto">
        <a:xfrm>
          <a:off x="1885950" y="14363700"/>
          <a:ext cx="304800" cy="1985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1045</xdr:rowOff>
    </xdr:to>
    <xdr:sp macro="" textlink="">
      <xdr:nvSpPr>
        <xdr:cNvPr id="23" name="AutoShape 25" descr="+">
          <a:extLst>
            <a:ext uri="{FF2B5EF4-FFF2-40B4-BE49-F238E27FC236}">
              <a16:creationId xmlns:a16="http://schemas.microsoft.com/office/drawing/2014/main" id="{44280ABD-540B-41B5-B623-1885A59AEB4E}"/>
            </a:ext>
          </a:extLst>
        </xdr:cNvPr>
        <xdr:cNvSpPr>
          <a:spLocks noChangeAspect="1" noChangeArrowheads="1"/>
        </xdr:cNvSpPr>
      </xdr:nvSpPr>
      <xdr:spPr bwMode="auto">
        <a:xfrm>
          <a:off x="1885950" y="14363700"/>
          <a:ext cx="304800" cy="2081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1045</xdr:rowOff>
    </xdr:to>
    <xdr:sp macro="" textlink="">
      <xdr:nvSpPr>
        <xdr:cNvPr id="24" name="AutoShape 26" descr="+">
          <a:extLst>
            <a:ext uri="{FF2B5EF4-FFF2-40B4-BE49-F238E27FC236}">
              <a16:creationId xmlns:a16="http://schemas.microsoft.com/office/drawing/2014/main" id="{4852A9A8-E8FA-4BCB-BC75-1DE7D9C5E5AA}"/>
            </a:ext>
          </a:extLst>
        </xdr:cNvPr>
        <xdr:cNvSpPr>
          <a:spLocks noChangeAspect="1" noChangeArrowheads="1"/>
        </xdr:cNvSpPr>
      </xdr:nvSpPr>
      <xdr:spPr bwMode="auto">
        <a:xfrm>
          <a:off x="1885950" y="14363700"/>
          <a:ext cx="304800" cy="2081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179535</xdr:rowOff>
    </xdr:to>
    <xdr:sp macro="" textlink="">
      <xdr:nvSpPr>
        <xdr:cNvPr id="25" name="AutoShape 27" descr="+">
          <a:extLst>
            <a:ext uri="{FF2B5EF4-FFF2-40B4-BE49-F238E27FC236}">
              <a16:creationId xmlns:a16="http://schemas.microsoft.com/office/drawing/2014/main" id="{E71E3287-F79A-479D-AC7E-848E5262B873}"/>
            </a:ext>
          </a:extLst>
        </xdr:cNvPr>
        <xdr:cNvSpPr>
          <a:spLocks noChangeAspect="1" noChangeArrowheads="1"/>
        </xdr:cNvSpPr>
      </xdr:nvSpPr>
      <xdr:spPr bwMode="auto">
        <a:xfrm>
          <a:off x="1885950" y="14363700"/>
          <a:ext cx="304800" cy="17953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1042</xdr:rowOff>
    </xdr:to>
    <xdr:sp macro="" textlink="">
      <xdr:nvSpPr>
        <xdr:cNvPr id="26" name="AutoShape 28" descr="+">
          <a:extLst>
            <a:ext uri="{FF2B5EF4-FFF2-40B4-BE49-F238E27FC236}">
              <a16:creationId xmlns:a16="http://schemas.microsoft.com/office/drawing/2014/main" id="{E31ACFD5-2961-44ED-89F2-E0A847AC9E57}"/>
            </a:ext>
          </a:extLst>
        </xdr:cNvPr>
        <xdr:cNvSpPr>
          <a:spLocks noChangeAspect="1" noChangeArrowheads="1"/>
        </xdr:cNvSpPr>
      </xdr:nvSpPr>
      <xdr:spPr bwMode="auto">
        <a:xfrm>
          <a:off x="1885950" y="14363700"/>
          <a:ext cx="304800" cy="2081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201711</xdr:rowOff>
    </xdr:to>
    <xdr:sp macro="" textlink="">
      <xdr:nvSpPr>
        <xdr:cNvPr id="27" name="AutoShape 29" descr="+">
          <a:extLst>
            <a:ext uri="{FF2B5EF4-FFF2-40B4-BE49-F238E27FC236}">
              <a16:creationId xmlns:a16="http://schemas.microsoft.com/office/drawing/2014/main" id="{8DC87171-7D8E-4292-8E92-58E60FC3D946}"/>
            </a:ext>
          </a:extLst>
        </xdr:cNvPr>
        <xdr:cNvSpPr>
          <a:spLocks noChangeAspect="1" noChangeArrowheads="1"/>
        </xdr:cNvSpPr>
      </xdr:nvSpPr>
      <xdr:spPr bwMode="auto">
        <a:xfrm>
          <a:off x="1885950" y="14363700"/>
          <a:ext cx="304800" cy="2017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171731</xdr:rowOff>
    </xdr:to>
    <xdr:sp macro="" textlink="">
      <xdr:nvSpPr>
        <xdr:cNvPr id="28" name="AutoShape 30" descr="+">
          <a:extLst>
            <a:ext uri="{FF2B5EF4-FFF2-40B4-BE49-F238E27FC236}">
              <a16:creationId xmlns:a16="http://schemas.microsoft.com/office/drawing/2014/main" id="{4BD79909-3F48-4C14-873F-39FEFD1DCC84}"/>
            </a:ext>
          </a:extLst>
        </xdr:cNvPr>
        <xdr:cNvSpPr>
          <a:spLocks noChangeAspect="1" noChangeArrowheads="1"/>
        </xdr:cNvSpPr>
      </xdr:nvSpPr>
      <xdr:spPr bwMode="auto">
        <a:xfrm>
          <a:off x="1885950" y="14363700"/>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171730</xdr:rowOff>
    </xdr:to>
    <xdr:sp macro="" textlink="">
      <xdr:nvSpPr>
        <xdr:cNvPr id="29" name="AutoShape 31" descr="+">
          <a:extLst>
            <a:ext uri="{FF2B5EF4-FFF2-40B4-BE49-F238E27FC236}">
              <a16:creationId xmlns:a16="http://schemas.microsoft.com/office/drawing/2014/main" id="{577BDA07-3F26-4A5E-8F30-F5D3F9853AA8}"/>
            </a:ext>
          </a:extLst>
        </xdr:cNvPr>
        <xdr:cNvSpPr>
          <a:spLocks noChangeAspect="1" noChangeArrowheads="1"/>
        </xdr:cNvSpPr>
      </xdr:nvSpPr>
      <xdr:spPr bwMode="auto">
        <a:xfrm>
          <a:off x="1885950" y="14363700"/>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3445</xdr:rowOff>
    </xdr:to>
    <xdr:sp macro="" textlink="">
      <xdr:nvSpPr>
        <xdr:cNvPr id="30" name="AutoShape 32" descr="+">
          <a:extLst>
            <a:ext uri="{FF2B5EF4-FFF2-40B4-BE49-F238E27FC236}">
              <a16:creationId xmlns:a16="http://schemas.microsoft.com/office/drawing/2014/main" id="{CA07E0B1-15B2-4D3F-9F69-5426AA0EA79F}"/>
            </a:ext>
          </a:extLst>
        </xdr:cNvPr>
        <xdr:cNvSpPr>
          <a:spLocks noChangeAspect="1" noChangeArrowheads="1"/>
        </xdr:cNvSpPr>
      </xdr:nvSpPr>
      <xdr:spPr bwMode="auto">
        <a:xfrm>
          <a:off x="1885950" y="14363700"/>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203088</xdr:rowOff>
    </xdr:to>
    <xdr:sp macro="" textlink="">
      <xdr:nvSpPr>
        <xdr:cNvPr id="31" name="AutoShape 33" descr="+">
          <a:extLst>
            <a:ext uri="{FF2B5EF4-FFF2-40B4-BE49-F238E27FC236}">
              <a16:creationId xmlns:a16="http://schemas.microsoft.com/office/drawing/2014/main" id="{B7443396-6BFF-4902-9750-98A11BF3CE57}"/>
            </a:ext>
          </a:extLst>
        </xdr:cNvPr>
        <xdr:cNvSpPr>
          <a:spLocks noChangeAspect="1" noChangeArrowheads="1"/>
        </xdr:cNvSpPr>
      </xdr:nvSpPr>
      <xdr:spPr bwMode="auto">
        <a:xfrm>
          <a:off x="1885950" y="14363700"/>
          <a:ext cx="304800" cy="20308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3448</xdr:rowOff>
    </xdr:to>
    <xdr:sp macro="" textlink="">
      <xdr:nvSpPr>
        <xdr:cNvPr id="32" name="AutoShape 34" descr="+">
          <a:extLst>
            <a:ext uri="{FF2B5EF4-FFF2-40B4-BE49-F238E27FC236}">
              <a16:creationId xmlns:a16="http://schemas.microsoft.com/office/drawing/2014/main" id="{3AFFF92B-4DF2-48A3-A91B-43AED162D1A8}"/>
            </a:ext>
          </a:extLst>
        </xdr:cNvPr>
        <xdr:cNvSpPr>
          <a:spLocks noChangeAspect="1" noChangeArrowheads="1"/>
        </xdr:cNvSpPr>
      </xdr:nvSpPr>
      <xdr:spPr bwMode="auto">
        <a:xfrm>
          <a:off x="1885950" y="14363700"/>
          <a:ext cx="304800" cy="2105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171731</xdr:rowOff>
    </xdr:to>
    <xdr:sp macro="" textlink="">
      <xdr:nvSpPr>
        <xdr:cNvPr id="33" name="AutoShape 52" descr="+">
          <a:extLst>
            <a:ext uri="{FF2B5EF4-FFF2-40B4-BE49-F238E27FC236}">
              <a16:creationId xmlns:a16="http://schemas.microsoft.com/office/drawing/2014/main" id="{8A9736D1-9ED8-47AC-B3D9-877E52592C8A}"/>
            </a:ext>
          </a:extLst>
        </xdr:cNvPr>
        <xdr:cNvSpPr>
          <a:spLocks noChangeAspect="1" noChangeArrowheads="1"/>
        </xdr:cNvSpPr>
      </xdr:nvSpPr>
      <xdr:spPr bwMode="auto">
        <a:xfrm>
          <a:off x="1885950" y="14363700"/>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171730</xdr:rowOff>
    </xdr:to>
    <xdr:sp macro="" textlink="">
      <xdr:nvSpPr>
        <xdr:cNvPr id="34" name="AutoShape 53" descr="+">
          <a:extLst>
            <a:ext uri="{FF2B5EF4-FFF2-40B4-BE49-F238E27FC236}">
              <a16:creationId xmlns:a16="http://schemas.microsoft.com/office/drawing/2014/main" id="{B6B7D4B8-C804-4C95-8EE3-33BD3393C7DA}"/>
            </a:ext>
          </a:extLst>
        </xdr:cNvPr>
        <xdr:cNvSpPr>
          <a:spLocks noChangeAspect="1" noChangeArrowheads="1"/>
        </xdr:cNvSpPr>
      </xdr:nvSpPr>
      <xdr:spPr bwMode="auto">
        <a:xfrm>
          <a:off x="1885950" y="14363700"/>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186698</xdr:rowOff>
    </xdr:to>
    <xdr:sp macro="" textlink="">
      <xdr:nvSpPr>
        <xdr:cNvPr id="35" name="AutoShape 54" descr="+">
          <a:extLst>
            <a:ext uri="{FF2B5EF4-FFF2-40B4-BE49-F238E27FC236}">
              <a16:creationId xmlns:a16="http://schemas.microsoft.com/office/drawing/2014/main" id="{550CB27C-AE21-43B4-9162-7D16376BF340}"/>
            </a:ext>
          </a:extLst>
        </xdr:cNvPr>
        <xdr:cNvSpPr>
          <a:spLocks noChangeAspect="1" noChangeArrowheads="1"/>
        </xdr:cNvSpPr>
      </xdr:nvSpPr>
      <xdr:spPr bwMode="auto">
        <a:xfrm>
          <a:off x="1885950" y="14363700"/>
          <a:ext cx="304800" cy="18669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171731</xdr:rowOff>
    </xdr:to>
    <xdr:sp macro="" textlink="">
      <xdr:nvSpPr>
        <xdr:cNvPr id="36" name="AutoShape 55" descr="+">
          <a:extLst>
            <a:ext uri="{FF2B5EF4-FFF2-40B4-BE49-F238E27FC236}">
              <a16:creationId xmlns:a16="http://schemas.microsoft.com/office/drawing/2014/main" id="{6A6F3EBF-D796-4C4A-AF5E-DB7B464652A2}"/>
            </a:ext>
          </a:extLst>
        </xdr:cNvPr>
        <xdr:cNvSpPr>
          <a:spLocks noChangeAspect="1" noChangeArrowheads="1"/>
        </xdr:cNvSpPr>
      </xdr:nvSpPr>
      <xdr:spPr bwMode="auto">
        <a:xfrm>
          <a:off x="1885950" y="14363700"/>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3446</xdr:rowOff>
    </xdr:to>
    <xdr:sp macro="" textlink="">
      <xdr:nvSpPr>
        <xdr:cNvPr id="37" name="AutoShape 56" descr="+">
          <a:extLst>
            <a:ext uri="{FF2B5EF4-FFF2-40B4-BE49-F238E27FC236}">
              <a16:creationId xmlns:a16="http://schemas.microsoft.com/office/drawing/2014/main" id="{07D26AE2-C46F-4110-B99F-96495B958146}"/>
            </a:ext>
          </a:extLst>
        </xdr:cNvPr>
        <xdr:cNvSpPr>
          <a:spLocks noChangeAspect="1" noChangeArrowheads="1"/>
        </xdr:cNvSpPr>
      </xdr:nvSpPr>
      <xdr:spPr bwMode="auto">
        <a:xfrm>
          <a:off x="1885950" y="14363700"/>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3444</xdr:rowOff>
    </xdr:to>
    <xdr:sp macro="" textlink="">
      <xdr:nvSpPr>
        <xdr:cNvPr id="38" name="AutoShape 57" descr="+">
          <a:extLst>
            <a:ext uri="{FF2B5EF4-FFF2-40B4-BE49-F238E27FC236}">
              <a16:creationId xmlns:a16="http://schemas.microsoft.com/office/drawing/2014/main" id="{A4A26077-5DF2-493D-8475-614CDC3AC729}"/>
            </a:ext>
          </a:extLst>
        </xdr:cNvPr>
        <xdr:cNvSpPr>
          <a:spLocks noChangeAspect="1" noChangeArrowheads="1"/>
        </xdr:cNvSpPr>
      </xdr:nvSpPr>
      <xdr:spPr bwMode="auto">
        <a:xfrm>
          <a:off x="1885950" y="14363700"/>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3447</xdr:rowOff>
    </xdr:to>
    <xdr:sp macro="" textlink="">
      <xdr:nvSpPr>
        <xdr:cNvPr id="39" name="AutoShape 58" descr="+">
          <a:extLst>
            <a:ext uri="{FF2B5EF4-FFF2-40B4-BE49-F238E27FC236}">
              <a16:creationId xmlns:a16="http://schemas.microsoft.com/office/drawing/2014/main" id="{610B62E7-7050-4D08-AE39-A804A89D0795}"/>
            </a:ext>
          </a:extLst>
        </xdr:cNvPr>
        <xdr:cNvSpPr>
          <a:spLocks noChangeAspect="1" noChangeArrowheads="1"/>
        </xdr:cNvSpPr>
      </xdr:nvSpPr>
      <xdr:spPr bwMode="auto">
        <a:xfrm>
          <a:off x="1885950" y="14363700"/>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97321</xdr:rowOff>
    </xdr:to>
    <xdr:sp macro="" textlink="">
      <xdr:nvSpPr>
        <xdr:cNvPr id="40" name="AutoShape 59" descr="+">
          <a:extLst>
            <a:ext uri="{FF2B5EF4-FFF2-40B4-BE49-F238E27FC236}">
              <a16:creationId xmlns:a16="http://schemas.microsoft.com/office/drawing/2014/main" id="{62E5D632-2D34-491B-9542-8D35DB4FE3E2}"/>
            </a:ext>
          </a:extLst>
        </xdr:cNvPr>
        <xdr:cNvSpPr>
          <a:spLocks noChangeAspect="1" noChangeArrowheads="1"/>
        </xdr:cNvSpPr>
      </xdr:nvSpPr>
      <xdr:spPr bwMode="auto">
        <a:xfrm>
          <a:off x="1885950" y="143637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181937</xdr:rowOff>
    </xdr:to>
    <xdr:sp macro="" textlink="">
      <xdr:nvSpPr>
        <xdr:cNvPr id="41" name="AutoShape 60" descr="+">
          <a:extLst>
            <a:ext uri="{FF2B5EF4-FFF2-40B4-BE49-F238E27FC236}">
              <a16:creationId xmlns:a16="http://schemas.microsoft.com/office/drawing/2014/main" id="{E73CFF92-5053-4C1F-8780-415B4263D001}"/>
            </a:ext>
          </a:extLst>
        </xdr:cNvPr>
        <xdr:cNvSpPr>
          <a:spLocks noChangeAspect="1" noChangeArrowheads="1"/>
        </xdr:cNvSpPr>
      </xdr:nvSpPr>
      <xdr:spPr bwMode="auto">
        <a:xfrm>
          <a:off x="1885950" y="14363700"/>
          <a:ext cx="304800" cy="1819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3445</xdr:rowOff>
    </xdr:to>
    <xdr:sp macro="" textlink="">
      <xdr:nvSpPr>
        <xdr:cNvPr id="42" name="AutoShape 61" descr="+">
          <a:extLst>
            <a:ext uri="{FF2B5EF4-FFF2-40B4-BE49-F238E27FC236}">
              <a16:creationId xmlns:a16="http://schemas.microsoft.com/office/drawing/2014/main" id="{6B988E75-0F6D-46F9-9954-3BA095A10DBC}"/>
            </a:ext>
          </a:extLst>
        </xdr:cNvPr>
        <xdr:cNvSpPr>
          <a:spLocks noChangeAspect="1" noChangeArrowheads="1"/>
        </xdr:cNvSpPr>
      </xdr:nvSpPr>
      <xdr:spPr bwMode="auto">
        <a:xfrm>
          <a:off x="1885950" y="14363700"/>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3446</xdr:rowOff>
    </xdr:to>
    <xdr:sp macro="" textlink="">
      <xdr:nvSpPr>
        <xdr:cNvPr id="43" name="AutoShape 62" descr="+">
          <a:extLst>
            <a:ext uri="{FF2B5EF4-FFF2-40B4-BE49-F238E27FC236}">
              <a16:creationId xmlns:a16="http://schemas.microsoft.com/office/drawing/2014/main" id="{3A9B0D94-D8EC-4331-A5BE-21CE7E6DE521}"/>
            </a:ext>
          </a:extLst>
        </xdr:cNvPr>
        <xdr:cNvSpPr>
          <a:spLocks noChangeAspect="1" noChangeArrowheads="1"/>
        </xdr:cNvSpPr>
      </xdr:nvSpPr>
      <xdr:spPr bwMode="auto">
        <a:xfrm>
          <a:off x="1885950" y="14363700"/>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3446</xdr:rowOff>
    </xdr:to>
    <xdr:sp macro="" textlink="">
      <xdr:nvSpPr>
        <xdr:cNvPr id="44" name="AutoShape 63" descr="+">
          <a:extLst>
            <a:ext uri="{FF2B5EF4-FFF2-40B4-BE49-F238E27FC236}">
              <a16:creationId xmlns:a16="http://schemas.microsoft.com/office/drawing/2014/main" id="{4C163604-534D-478C-ACB1-75591D2B5E72}"/>
            </a:ext>
          </a:extLst>
        </xdr:cNvPr>
        <xdr:cNvSpPr>
          <a:spLocks noChangeAspect="1" noChangeArrowheads="1"/>
        </xdr:cNvSpPr>
      </xdr:nvSpPr>
      <xdr:spPr bwMode="auto">
        <a:xfrm>
          <a:off x="1885950" y="14363700"/>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3447</xdr:rowOff>
    </xdr:to>
    <xdr:sp macro="" textlink="">
      <xdr:nvSpPr>
        <xdr:cNvPr id="45" name="AutoShape 64" descr="+">
          <a:extLst>
            <a:ext uri="{FF2B5EF4-FFF2-40B4-BE49-F238E27FC236}">
              <a16:creationId xmlns:a16="http://schemas.microsoft.com/office/drawing/2014/main" id="{A6AA9AE4-4180-462F-B809-EC07A6ABF78D}"/>
            </a:ext>
          </a:extLst>
        </xdr:cNvPr>
        <xdr:cNvSpPr>
          <a:spLocks noChangeAspect="1" noChangeArrowheads="1"/>
        </xdr:cNvSpPr>
      </xdr:nvSpPr>
      <xdr:spPr bwMode="auto">
        <a:xfrm>
          <a:off x="1885950" y="14363700"/>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186696</xdr:rowOff>
    </xdr:to>
    <xdr:sp macro="" textlink="">
      <xdr:nvSpPr>
        <xdr:cNvPr id="46" name="AutoShape 65" descr="+">
          <a:extLst>
            <a:ext uri="{FF2B5EF4-FFF2-40B4-BE49-F238E27FC236}">
              <a16:creationId xmlns:a16="http://schemas.microsoft.com/office/drawing/2014/main" id="{6C4128C3-25AC-45F2-8F13-4154B722FCEB}"/>
            </a:ext>
          </a:extLst>
        </xdr:cNvPr>
        <xdr:cNvSpPr>
          <a:spLocks noChangeAspect="1" noChangeArrowheads="1"/>
        </xdr:cNvSpPr>
      </xdr:nvSpPr>
      <xdr:spPr bwMode="auto">
        <a:xfrm>
          <a:off x="1885950" y="14363700"/>
          <a:ext cx="304800" cy="18669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3447</xdr:rowOff>
    </xdr:to>
    <xdr:sp macro="" textlink="">
      <xdr:nvSpPr>
        <xdr:cNvPr id="47" name="AutoShape 66" descr="+">
          <a:extLst>
            <a:ext uri="{FF2B5EF4-FFF2-40B4-BE49-F238E27FC236}">
              <a16:creationId xmlns:a16="http://schemas.microsoft.com/office/drawing/2014/main" id="{A2FAC018-EC78-469A-9C75-68B906CB0EE6}"/>
            </a:ext>
          </a:extLst>
        </xdr:cNvPr>
        <xdr:cNvSpPr>
          <a:spLocks noChangeAspect="1" noChangeArrowheads="1"/>
        </xdr:cNvSpPr>
      </xdr:nvSpPr>
      <xdr:spPr bwMode="auto">
        <a:xfrm>
          <a:off x="1885950" y="14363700"/>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204108</xdr:rowOff>
    </xdr:to>
    <xdr:sp macro="" textlink="">
      <xdr:nvSpPr>
        <xdr:cNvPr id="48" name="AutoShape 67" descr="+">
          <a:extLst>
            <a:ext uri="{FF2B5EF4-FFF2-40B4-BE49-F238E27FC236}">
              <a16:creationId xmlns:a16="http://schemas.microsoft.com/office/drawing/2014/main" id="{FEB62ED2-E271-4106-BC06-7A90B5C697E6}"/>
            </a:ext>
          </a:extLst>
        </xdr:cNvPr>
        <xdr:cNvSpPr>
          <a:spLocks noChangeAspect="1" noChangeArrowheads="1"/>
        </xdr:cNvSpPr>
      </xdr:nvSpPr>
      <xdr:spPr bwMode="auto">
        <a:xfrm>
          <a:off x="1885950" y="14363700"/>
          <a:ext cx="304800" cy="2041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204108</xdr:rowOff>
    </xdr:to>
    <xdr:sp macro="" textlink="">
      <xdr:nvSpPr>
        <xdr:cNvPr id="49" name="AutoShape 68" descr="+">
          <a:extLst>
            <a:ext uri="{FF2B5EF4-FFF2-40B4-BE49-F238E27FC236}">
              <a16:creationId xmlns:a16="http://schemas.microsoft.com/office/drawing/2014/main" id="{D0D408C5-9DB9-4C20-A4A5-F492DB0982DF}"/>
            </a:ext>
          </a:extLst>
        </xdr:cNvPr>
        <xdr:cNvSpPr>
          <a:spLocks noChangeAspect="1" noChangeArrowheads="1"/>
        </xdr:cNvSpPr>
      </xdr:nvSpPr>
      <xdr:spPr bwMode="auto">
        <a:xfrm>
          <a:off x="1885950" y="14363700"/>
          <a:ext cx="304800" cy="2041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171731</xdr:rowOff>
    </xdr:to>
    <xdr:sp macro="" textlink="">
      <xdr:nvSpPr>
        <xdr:cNvPr id="50" name="AutoShape 69" descr="+">
          <a:extLst>
            <a:ext uri="{FF2B5EF4-FFF2-40B4-BE49-F238E27FC236}">
              <a16:creationId xmlns:a16="http://schemas.microsoft.com/office/drawing/2014/main" id="{145D941D-B0BF-4567-B72D-64D343D2ABF8}"/>
            </a:ext>
          </a:extLst>
        </xdr:cNvPr>
        <xdr:cNvSpPr>
          <a:spLocks noChangeAspect="1" noChangeArrowheads="1"/>
        </xdr:cNvSpPr>
      </xdr:nvSpPr>
      <xdr:spPr bwMode="auto">
        <a:xfrm>
          <a:off x="1885950" y="14363700"/>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176492</xdr:rowOff>
    </xdr:to>
    <xdr:sp macro="" textlink="">
      <xdr:nvSpPr>
        <xdr:cNvPr id="51" name="AutoShape 70" descr="+">
          <a:extLst>
            <a:ext uri="{FF2B5EF4-FFF2-40B4-BE49-F238E27FC236}">
              <a16:creationId xmlns:a16="http://schemas.microsoft.com/office/drawing/2014/main" id="{1F576CBF-6A22-42BB-9423-DFD03CE61E6D}"/>
            </a:ext>
          </a:extLst>
        </xdr:cNvPr>
        <xdr:cNvSpPr>
          <a:spLocks noChangeAspect="1" noChangeArrowheads="1"/>
        </xdr:cNvSpPr>
      </xdr:nvSpPr>
      <xdr:spPr bwMode="auto">
        <a:xfrm>
          <a:off x="1885950" y="14363700"/>
          <a:ext cx="304800" cy="17649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171732</xdr:rowOff>
    </xdr:to>
    <xdr:sp macro="" textlink="">
      <xdr:nvSpPr>
        <xdr:cNvPr id="52" name="AutoShape 71" descr="+">
          <a:extLst>
            <a:ext uri="{FF2B5EF4-FFF2-40B4-BE49-F238E27FC236}">
              <a16:creationId xmlns:a16="http://schemas.microsoft.com/office/drawing/2014/main" id="{2106AA29-2DB3-476B-8D3C-1BFD1E45297D}"/>
            </a:ext>
          </a:extLst>
        </xdr:cNvPr>
        <xdr:cNvSpPr>
          <a:spLocks noChangeAspect="1" noChangeArrowheads="1"/>
        </xdr:cNvSpPr>
      </xdr:nvSpPr>
      <xdr:spPr bwMode="auto">
        <a:xfrm>
          <a:off x="1885950" y="14363700"/>
          <a:ext cx="304800" cy="17173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3444</xdr:rowOff>
    </xdr:to>
    <xdr:sp macro="" textlink="">
      <xdr:nvSpPr>
        <xdr:cNvPr id="53" name="AutoShape 72" descr="+">
          <a:extLst>
            <a:ext uri="{FF2B5EF4-FFF2-40B4-BE49-F238E27FC236}">
              <a16:creationId xmlns:a16="http://schemas.microsoft.com/office/drawing/2014/main" id="{8D5C1B1A-0061-41DE-A15E-BDD4DDF8EC9B}"/>
            </a:ext>
          </a:extLst>
        </xdr:cNvPr>
        <xdr:cNvSpPr>
          <a:spLocks noChangeAspect="1" noChangeArrowheads="1"/>
        </xdr:cNvSpPr>
      </xdr:nvSpPr>
      <xdr:spPr bwMode="auto">
        <a:xfrm>
          <a:off x="1885950" y="14363700"/>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3447</xdr:rowOff>
    </xdr:to>
    <xdr:sp macro="" textlink="">
      <xdr:nvSpPr>
        <xdr:cNvPr id="54" name="AutoShape 73" descr="+">
          <a:extLst>
            <a:ext uri="{FF2B5EF4-FFF2-40B4-BE49-F238E27FC236}">
              <a16:creationId xmlns:a16="http://schemas.microsoft.com/office/drawing/2014/main" id="{9C58F9C3-3F43-4E90-AF12-DCFCB4988ACA}"/>
            </a:ext>
          </a:extLst>
        </xdr:cNvPr>
        <xdr:cNvSpPr>
          <a:spLocks noChangeAspect="1" noChangeArrowheads="1"/>
        </xdr:cNvSpPr>
      </xdr:nvSpPr>
      <xdr:spPr bwMode="auto">
        <a:xfrm>
          <a:off x="1885950" y="14363700"/>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3445</xdr:rowOff>
    </xdr:to>
    <xdr:sp macro="" textlink="">
      <xdr:nvSpPr>
        <xdr:cNvPr id="55" name="AutoShape 74" descr="+">
          <a:extLst>
            <a:ext uri="{FF2B5EF4-FFF2-40B4-BE49-F238E27FC236}">
              <a16:creationId xmlns:a16="http://schemas.microsoft.com/office/drawing/2014/main" id="{0CE38376-733D-4B4C-A6E8-854E786A4B38}"/>
            </a:ext>
          </a:extLst>
        </xdr:cNvPr>
        <xdr:cNvSpPr>
          <a:spLocks noChangeAspect="1" noChangeArrowheads="1"/>
        </xdr:cNvSpPr>
      </xdr:nvSpPr>
      <xdr:spPr bwMode="auto">
        <a:xfrm>
          <a:off x="1885950" y="14363700"/>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3447</xdr:rowOff>
    </xdr:to>
    <xdr:sp macro="" textlink="">
      <xdr:nvSpPr>
        <xdr:cNvPr id="56" name="AutoShape 75" descr="+">
          <a:extLst>
            <a:ext uri="{FF2B5EF4-FFF2-40B4-BE49-F238E27FC236}">
              <a16:creationId xmlns:a16="http://schemas.microsoft.com/office/drawing/2014/main" id="{8CDC6B48-1A90-4AF1-A073-5C59FC2185FA}"/>
            </a:ext>
          </a:extLst>
        </xdr:cNvPr>
        <xdr:cNvSpPr>
          <a:spLocks noChangeAspect="1" noChangeArrowheads="1"/>
        </xdr:cNvSpPr>
      </xdr:nvSpPr>
      <xdr:spPr bwMode="auto">
        <a:xfrm>
          <a:off x="1885950" y="14363700"/>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3444</xdr:rowOff>
    </xdr:to>
    <xdr:sp macro="" textlink="">
      <xdr:nvSpPr>
        <xdr:cNvPr id="57" name="AutoShape 76" descr="+">
          <a:extLst>
            <a:ext uri="{FF2B5EF4-FFF2-40B4-BE49-F238E27FC236}">
              <a16:creationId xmlns:a16="http://schemas.microsoft.com/office/drawing/2014/main" id="{615F1AC2-0C49-42C7-858D-3654EADB1ADE}"/>
            </a:ext>
          </a:extLst>
        </xdr:cNvPr>
        <xdr:cNvSpPr>
          <a:spLocks noChangeAspect="1" noChangeArrowheads="1"/>
        </xdr:cNvSpPr>
      </xdr:nvSpPr>
      <xdr:spPr bwMode="auto">
        <a:xfrm>
          <a:off x="1885950" y="14363700"/>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3446</xdr:rowOff>
    </xdr:to>
    <xdr:sp macro="" textlink="">
      <xdr:nvSpPr>
        <xdr:cNvPr id="58" name="AutoShape 77" descr="+">
          <a:extLst>
            <a:ext uri="{FF2B5EF4-FFF2-40B4-BE49-F238E27FC236}">
              <a16:creationId xmlns:a16="http://schemas.microsoft.com/office/drawing/2014/main" id="{DEB40677-0332-4895-B593-EDE313FAE3B0}"/>
            </a:ext>
          </a:extLst>
        </xdr:cNvPr>
        <xdr:cNvSpPr>
          <a:spLocks noChangeAspect="1" noChangeArrowheads="1"/>
        </xdr:cNvSpPr>
      </xdr:nvSpPr>
      <xdr:spPr bwMode="auto">
        <a:xfrm>
          <a:off x="1885950" y="14363700"/>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3444</xdr:rowOff>
    </xdr:to>
    <xdr:sp macro="" textlink="">
      <xdr:nvSpPr>
        <xdr:cNvPr id="59" name="AutoShape 78" descr="+">
          <a:extLst>
            <a:ext uri="{FF2B5EF4-FFF2-40B4-BE49-F238E27FC236}">
              <a16:creationId xmlns:a16="http://schemas.microsoft.com/office/drawing/2014/main" id="{256E8FAF-0D52-4CFD-A8CE-0B1DB68C699C}"/>
            </a:ext>
          </a:extLst>
        </xdr:cNvPr>
        <xdr:cNvSpPr>
          <a:spLocks noChangeAspect="1" noChangeArrowheads="1"/>
        </xdr:cNvSpPr>
      </xdr:nvSpPr>
      <xdr:spPr bwMode="auto">
        <a:xfrm>
          <a:off x="1885950" y="14363700"/>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166689</xdr:rowOff>
    </xdr:to>
    <xdr:sp macro="" textlink="">
      <xdr:nvSpPr>
        <xdr:cNvPr id="60" name="AutoShape 79" descr="+">
          <a:extLst>
            <a:ext uri="{FF2B5EF4-FFF2-40B4-BE49-F238E27FC236}">
              <a16:creationId xmlns:a16="http://schemas.microsoft.com/office/drawing/2014/main" id="{6F11FEA2-561B-4914-A3D9-F1A33A9A9F3B}"/>
            </a:ext>
          </a:extLst>
        </xdr:cNvPr>
        <xdr:cNvSpPr>
          <a:spLocks noChangeAspect="1" noChangeArrowheads="1"/>
        </xdr:cNvSpPr>
      </xdr:nvSpPr>
      <xdr:spPr bwMode="auto">
        <a:xfrm>
          <a:off x="1885950" y="14363700"/>
          <a:ext cx="304800" cy="16668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166688</xdr:rowOff>
    </xdr:to>
    <xdr:sp macro="" textlink="">
      <xdr:nvSpPr>
        <xdr:cNvPr id="61" name="AutoShape 80" descr="+">
          <a:extLst>
            <a:ext uri="{FF2B5EF4-FFF2-40B4-BE49-F238E27FC236}">
              <a16:creationId xmlns:a16="http://schemas.microsoft.com/office/drawing/2014/main" id="{6D62FCF9-E67B-44B5-BC49-44F60F713F01}"/>
            </a:ext>
          </a:extLst>
        </xdr:cNvPr>
        <xdr:cNvSpPr>
          <a:spLocks noChangeAspect="1" noChangeArrowheads="1"/>
        </xdr:cNvSpPr>
      </xdr:nvSpPr>
      <xdr:spPr bwMode="auto">
        <a:xfrm>
          <a:off x="1885950" y="14363700"/>
          <a:ext cx="304800" cy="16668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181655</xdr:rowOff>
    </xdr:to>
    <xdr:sp macro="" textlink="">
      <xdr:nvSpPr>
        <xdr:cNvPr id="62" name="AutoShape 81" descr="+">
          <a:extLst>
            <a:ext uri="{FF2B5EF4-FFF2-40B4-BE49-F238E27FC236}">
              <a16:creationId xmlns:a16="http://schemas.microsoft.com/office/drawing/2014/main" id="{5FB90AE6-534C-442B-BC74-D6A96ECB564A}"/>
            </a:ext>
          </a:extLst>
        </xdr:cNvPr>
        <xdr:cNvSpPr>
          <a:spLocks noChangeAspect="1" noChangeArrowheads="1"/>
        </xdr:cNvSpPr>
      </xdr:nvSpPr>
      <xdr:spPr bwMode="auto">
        <a:xfrm>
          <a:off x="1885950" y="14363700"/>
          <a:ext cx="304800" cy="18165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166688</xdr:rowOff>
    </xdr:to>
    <xdr:sp macro="" textlink="">
      <xdr:nvSpPr>
        <xdr:cNvPr id="63" name="AutoShape 82" descr="+">
          <a:extLst>
            <a:ext uri="{FF2B5EF4-FFF2-40B4-BE49-F238E27FC236}">
              <a16:creationId xmlns:a16="http://schemas.microsoft.com/office/drawing/2014/main" id="{F0A5D013-F14F-4865-8DAD-5B57EA22177B}"/>
            </a:ext>
          </a:extLst>
        </xdr:cNvPr>
        <xdr:cNvSpPr>
          <a:spLocks noChangeAspect="1" noChangeArrowheads="1"/>
        </xdr:cNvSpPr>
      </xdr:nvSpPr>
      <xdr:spPr bwMode="auto">
        <a:xfrm>
          <a:off x="1885950" y="14363700"/>
          <a:ext cx="304800" cy="16668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205471</xdr:rowOff>
    </xdr:to>
    <xdr:sp macro="" textlink="">
      <xdr:nvSpPr>
        <xdr:cNvPr id="64" name="AutoShape 83" descr="+">
          <a:extLst>
            <a:ext uri="{FF2B5EF4-FFF2-40B4-BE49-F238E27FC236}">
              <a16:creationId xmlns:a16="http://schemas.microsoft.com/office/drawing/2014/main" id="{813F5F14-B6C9-40F2-98DD-CBAC27A6E2B1}"/>
            </a:ext>
          </a:extLst>
        </xdr:cNvPr>
        <xdr:cNvSpPr>
          <a:spLocks noChangeAspect="1" noChangeArrowheads="1"/>
        </xdr:cNvSpPr>
      </xdr:nvSpPr>
      <xdr:spPr bwMode="auto">
        <a:xfrm>
          <a:off x="1885950" y="14363700"/>
          <a:ext cx="304800" cy="20547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205469</xdr:rowOff>
    </xdr:to>
    <xdr:sp macro="" textlink="">
      <xdr:nvSpPr>
        <xdr:cNvPr id="65" name="AutoShape 84" descr="+">
          <a:extLst>
            <a:ext uri="{FF2B5EF4-FFF2-40B4-BE49-F238E27FC236}">
              <a16:creationId xmlns:a16="http://schemas.microsoft.com/office/drawing/2014/main" id="{695C37B5-CCBC-4AB7-8E1C-7DCB01E76CFF}"/>
            </a:ext>
          </a:extLst>
        </xdr:cNvPr>
        <xdr:cNvSpPr>
          <a:spLocks noChangeAspect="1" noChangeArrowheads="1"/>
        </xdr:cNvSpPr>
      </xdr:nvSpPr>
      <xdr:spPr bwMode="auto">
        <a:xfrm>
          <a:off x="1885950" y="14363700"/>
          <a:ext cx="304800" cy="20546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205468</xdr:rowOff>
    </xdr:to>
    <xdr:sp macro="" textlink="">
      <xdr:nvSpPr>
        <xdr:cNvPr id="66" name="AutoShape 85" descr="+">
          <a:extLst>
            <a:ext uri="{FF2B5EF4-FFF2-40B4-BE49-F238E27FC236}">
              <a16:creationId xmlns:a16="http://schemas.microsoft.com/office/drawing/2014/main" id="{43BA8705-3977-4EF8-B2DF-58E2C2020316}"/>
            </a:ext>
          </a:extLst>
        </xdr:cNvPr>
        <xdr:cNvSpPr>
          <a:spLocks noChangeAspect="1" noChangeArrowheads="1"/>
        </xdr:cNvSpPr>
      </xdr:nvSpPr>
      <xdr:spPr bwMode="auto">
        <a:xfrm>
          <a:off x="1885950" y="14363700"/>
          <a:ext cx="304800" cy="20546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166688</xdr:rowOff>
    </xdr:to>
    <xdr:sp macro="" textlink="">
      <xdr:nvSpPr>
        <xdr:cNvPr id="67" name="AutoShape 86" descr="+">
          <a:extLst>
            <a:ext uri="{FF2B5EF4-FFF2-40B4-BE49-F238E27FC236}">
              <a16:creationId xmlns:a16="http://schemas.microsoft.com/office/drawing/2014/main" id="{639D772C-FD2C-4956-A0F8-2555BC40FB46}"/>
            </a:ext>
          </a:extLst>
        </xdr:cNvPr>
        <xdr:cNvSpPr>
          <a:spLocks noChangeAspect="1" noChangeArrowheads="1"/>
        </xdr:cNvSpPr>
      </xdr:nvSpPr>
      <xdr:spPr bwMode="auto">
        <a:xfrm>
          <a:off x="1885950" y="14363700"/>
          <a:ext cx="304800" cy="16668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205469</xdr:rowOff>
    </xdr:to>
    <xdr:sp macro="" textlink="">
      <xdr:nvSpPr>
        <xdr:cNvPr id="68" name="AutoShape 87" descr="+">
          <a:extLst>
            <a:ext uri="{FF2B5EF4-FFF2-40B4-BE49-F238E27FC236}">
              <a16:creationId xmlns:a16="http://schemas.microsoft.com/office/drawing/2014/main" id="{5CCD5579-01A0-4D56-94C2-52787AA341BA}"/>
            </a:ext>
          </a:extLst>
        </xdr:cNvPr>
        <xdr:cNvSpPr>
          <a:spLocks noChangeAspect="1" noChangeArrowheads="1"/>
        </xdr:cNvSpPr>
      </xdr:nvSpPr>
      <xdr:spPr bwMode="auto">
        <a:xfrm>
          <a:off x="1885950" y="14363700"/>
          <a:ext cx="304800" cy="20546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205469</xdr:rowOff>
    </xdr:to>
    <xdr:sp macro="" textlink="">
      <xdr:nvSpPr>
        <xdr:cNvPr id="69" name="AutoShape 88" descr="+">
          <a:extLst>
            <a:ext uri="{FF2B5EF4-FFF2-40B4-BE49-F238E27FC236}">
              <a16:creationId xmlns:a16="http://schemas.microsoft.com/office/drawing/2014/main" id="{CAF88623-5FB9-41CA-BEC5-6C0EFA47ED26}"/>
            </a:ext>
          </a:extLst>
        </xdr:cNvPr>
        <xdr:cNvSpPr>
          <a:spLocks noChangeAspect="1" noChangeArrowheads="1"/>
        </xdr:cNvSpPr>
      </xdr:nvSpPr>
      <xdr:spPr bwMode="auto">
        <a:xfrm>
          <a:off x="1885950" y="14363700"/>
          <a:ext cx="304800" cy="20546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205470</xdr:rowOff>
    </xdr:to>
    <xdr:sp macro="" textlink="">
      <xdr:nvSpPr>
        <xdr:cNvPr id="70" name="AutoShape 89" descr="+">
          <a:extLst>
            <a:ext uri="{FF2B5EF4-FFF2-40B4-BE49-F238E27FC236}">
              <a16:creationId xmlns:a16="http://schemas.microsoft.com/office/drawing/2014/main" id="{D5F26573-C7A4-4767-A9F5-95C9D459BF69}"/>
            </a:ext>
          </a:extLst>
        </xdr:cNvPr>
        <xdr:cNvSpPr>
          <a:spLocks noChangeAspect="1" noChangeArrowheads="1"/>
        </xdr:cNvSpPr>
      </xdr:nvSpPr>
      <xdr:spPr bwMode="auto">
        <a:xfrm>
          <a:off x="1885950" y="14363700"/>
          <a:ext cx="304800" cy="20547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205467</xdr:rowOff>
    </xdr:to>
    <xdr:sp macro="" textlink="">
      <xdr:nvSpPr>
        <xdr:cNvPr id="71" name="AutoShape 90" descr="+">
          <a:extLst>
            <a:ext uri="{FF2B5EF4-FFF2-40B4-BE49-F238E27FC236}">
              <a16:creationId xmlns:a16="http://schemas.microsoft.com/office/drawing/2014/main" id="{5EC7D220-11C8-4437-9DC3-AD84045B8E13}"/>
            </a:ext>
          </a:extLst>
        </xdr:cNvPr>
        <xdr:cNvSpPr>
          <a:spLocks noChangeAspect="1" noChangeArrowheads="1"/>
        </xdr:cNvSpPr>
      </xdr:nvSpPr>
      <xdr:spPr bwMode="auto">
        <a:xfrm>
          <a:off x="1885950" y="14363700"/>
          <a:ext cx="304800" cy="20546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99564</xdr:rowOff>
    </xdr:to>
    <xdr:sp macro="" textlink="">
      <xdr:nvSpPr>
        <xdr:cNvPr id="72" name="AutoShape 91" descr="+">
          <a:extLst>
            <a:ext uri="{FF2B5EF4-FFF2-40B4-BE49-F238E27FC236}">
              <a16:creationId xmlns:a16="http://schemas.microsoft.com/office/drawing/2014/main" id="{1474C7AC-A40F-4425-8462-318BEA990D3B}"/>
            </a:ext>
          </a:extLst>
        </xdr:cNvPr>
        <xdr:cNvSpPr>
          <a:spLocks noChangeAspect="1" noChangeArrowheads="1"/>
        </xdr:cNvSpPr>
      </xdr:nvSpPr>
      <xdr:spPr bwMode="auto">
        <a:xfrm>
          <a:off x="1885950" y="14363700"/>
          <a:ext cx="304800" cy="30704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171450</xdr:rowOff>
    </xdr:to>
    <xdr:sp macro="" textlink="">
      <xdr:nvSpPr>
        <xdr:cNvPr id="73" name="AutoShape 92" descr="+">
          <a:extLst>
            <a:ext uri="{FF2B5EF4-FFF2-40B4-BE49-F238E27FC236}">
              <a16:creationId xmlns:a16="http://schemas.microsoft.com/office/drawing/2014/main" id="{9B64FE00-95A1-40BC-A9C3-D4CD8CA6BB43}"/>
            </a:ext>
          </a:extLst>
        </xdr:cNvPr>
        <xdr:cNvSpPr>
          <a:spLocks noChangeAspect="1" noChangeArrowheads="1"/>
        </xdr:cNvSpPr>
      </xdr:nvSpPr>
      <xdr:spPr bwMode="auto">
        <a:xfrm>
          <a:off x="1885950" y="14363700"/>
          <a:ext cx="304800" cy="171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205470</xdr:rowOff>
    </xdr:to>
    <xdr:sp macro="" textlink="">
      <xdr:nvSpPr>
        <xdr:cNvPr id="74" name="AutoShape 93" descr="+">
          <a:extLst>
            <a:ext uri="{FF2B5EF4-FFF2-40B4-BE49-F238E27FC236}">
              <a16:creationId xmlns:a16="http://schemas.microsoft.com/office/drawing/2014/main" id="{47205499-6A7E-4091-8BA5-F16B1FDFD85F}"/>
            </a:ext>
          </a:extLst>
        </xdr:cNvPr>
        <xdr:cNvSpPr>
          <a:spLocks noChangeAspect="1" noChangeArrowheads="1"/>
        </xdr:cNvSpPr>
      </xdr:nvSpPr>
      <xdr:spPr bwMode="auto">
        <a:xfrm>
          <a:off x="1885950" y="14363700"/>
          <a:ext cx="304800" cy="20547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205470</xdr:rowOff>
    </xdr:to>
    <xdr:sp macro="" textlink="">
      <xdr:nvSpPr>
        <xdr:cNvPr id="75" name="AutoShape 94" descr="+">
          <a:extLst>
            <a:ext uri="{FF2B5EF4-FFF2-40B4-BE49-F238E27FC236}">
              <a16:creationId xmlns:a16="http://schemas.microsoft.com/office/drawing/2014/main" id="{B88632A7-E43C-4142-AA36-4C7D0E652630}"/>
            </a:ext>
          </a:extLst>
        </xdr:cNvPr>
        <xdr:cNvSpPr>
          <a:spLocks noChangeAspect="1" noChangeArrowheads="1"/>
        </xdr:cNvSpPr>
      </xdr:nvSpPr>
      <xdr:spPr bwMode="auto">
        <a:xfrm>
          <a:off x="1885950" y="14363700"/>
          <a:ext cx="304800" cy="20547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200708</xdr:rowOff>
    </xdr:to>
    <xdr:sp macro="" textlink="">
      <xdr:nvSpPr>
        <xdr:cNvPr id="76" name="AutoShape 95" descr="+">
          <a:extLst>
            <a:ext uri="{FF2B5EF4-FFF2-40B4-BE49-F238E27FC236}">
              <a16:creationId xmlns:a16="http://schemas.microsoft.com/office/drawing/2014/main" id="{477DD31E-463F-46A0-B547-8D24B1CBA610}"/>
            </a:ext>
          </a:extLst>
        </xdr:cNvPr>
        <xdr:cNvSpPr>
          <a:spLocks noChangeAspect="1" noChangeArrowheads="1"/>
        </xdr:cNvSpPr>
      </xdr:nvSpPr>
      <xdr:spPr bwMode="auto">
        <a:xfrm>
          <a:off x="1885950" y="14363700"/>
          <a:ext cx="304800" cy="2007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171730</xdr:rowOff>
    </xdr:to>
    <xdr:sp macro="" textlink="">
      <xdr:nvSpPr>
        <xdr:cNvPr id="77" name="AutoShape 96" descr="+">
          <a:extLst>
            <a:ext uri="{FF2B5EF4-FFF2-40B4-BE49-F238E27FC236}">
              <a16:creationId xmlns:a16="http://schemas.microsoft.com/office/drawing/2014/main" id="{484CBE30-4859-42C8-83D0-7639A65BAF8B}"/>
            </a:ext>
          </a:extLst>
        </xdr:cNvPr>
        <xdr:cNvSpPr>
          <a:spLocks noChangeAspect="1" noChangeArrowheads="1"/>
        </xdr:cNvSpPr>
      </xdr:nvSpPr>
      <xdr:spPr bwMode="auto">
        <a:xfrm>
          <a:off x="1885950" y="14363700"/>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171731</xdr:rowOff>
    </xdr:to>
    <xdr:sp macro="" textlink="">
      <xdr:nvSpPr>
        <xdr:cNvPr id="78" name="AutoShape 97" descr="+">
          <a:extLst>
            <a:ext uri="{FF2B5EF4-FFF2-40B4-BE49-F238E27FC236}">
              <a16:creationId xmlns:a16="http://schemas.microsoft.com/office/drawing/2014/main" id="{3E7F2058-EB55-493E-B433-1B2D028071C0}"/>
            </a:ext>
          </a:extLst>
        </xdr:cNvPr>
        <xdr:cNvSpPr>
          <a:spLocks noChangeAspect="1" noChangeArrowheads="1"/>
        </xdr:cNvSpPr>
      </xdr:nvSpPr>
      <xdr:spPr bwMode="auto">
        <a:xfrm>
          <a:off x="1885950" y="14363700"/>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176492</xdr:rowOff>
    </xdr:to>
    <xdr:sp macro="" textlink="">
      <xdr:nvSpPr>
        <xdr:cNvPr id="79" name="AutoShape 98" descr="+">
          <a:extLst>
            <a:ext uri="{FF2B5EF4-FFF2-40B4-BE49-F238E27FC236}">
              <a16:creationId xmlns:a16="http://schemas.microsoft.com/office/drawing/2014/main" id="{3FF7A4C5-290E-451E-8DA7-5AD6A721077A}"/>
            </a:ext>
          </a:extLst>
        </xdr:cNvPr>
        <xdr:cNvSpPr>
          <a:spLocks noChangeAspect="1" noChangeArrowheads="1"/>
        </xdr:cNvSpPr>
      </xdr:nvSpPr>
      <xdr:spPr bwMode="auto">
        <a:xfrm>
          <a:off x="1885950" y="14363700"/>
          <a:ext cx="304800" cy="17649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3448</xdr:rowOff>
    </xdr:to>
    <xdr:sp macro="" textlink="">
      <xdr:nvSpPr>
        <xdr:cNvPr id="80" name="AutoShape 99" descr="+">
          <a:extLst>
            <a:ext uri="{FF2B5EF4-FFF2-40B4-BE49-F238E27FC236}">
              <a16:creationId xmlns:a16="http://schemas.microsoft.com/office/drawing/2014/main" id="{22BB6A5B-03FF-4734-88ED-6A1605E36205}"/>
            </a:ext>
          </a:extLst>
        </xdr:cNvPr>
        <xdr:cNvSpPr>
          <a:spLocks noChangeAspect="1" noChangeArrowheads="1"/>
        </xdr:cNvSpPr>
      </xdr:nvSpPr>
      <xdr:spPr bwMode="auto">
        <a:xfrm>
          <a:off x="1885950" y="14363700"/>
          <a:ext cx="304800" cy="2105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181936</xdr:rowOff>
    </xdr:to>
    <xdr:sp macro="" textlink="">
      <xdr:nvSpPr>
        <xdr:cNvPr id="81" name="AutoShape 100" descr="+">
          <a:extLst>
            <a:ext uri="{FF2B5EF4-FFF2-40B4-BE49-F238E27FC236}">
              <a16:creationId xmlns:a16="http://schemas.microsoft.com/office/drawing/2014/main" id="{0510FDA3-E318-482D-8843-4F8D0DA29655}"/>
            </a:ext>
          </a:extLst>
        </xdr:cNvPr>
        <xdr:cNvSpPr>
          <a:spLocks noChangeAspect="1" noChangeArrowheads="1"/>
        </xdr:cNvSpPr>
      </xdr:nvSpPr>
      <xdr:spPr bwMode="auto">
        <a:xfrm>
          <a:off x="1885950" y="14363700"/>
          <a:ext cx="304800" cy="18193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3446</xdr:rowOff>
    </xdr:to>
    <xdr:sp macro="" textlink="">
      <xdr:nvSpPr>
        <xdr:cNvPr id="82" name="AutoShape 101" descr="+">
          <a:extLst>
            <a:ext uri="{FF2B5EF4-FFF2-40B4-BE49-F238E27FC236}">
              <a16:creationId xmlns:a16="http://schemas.microsoft.com/office/drawing/2014/main" id="{DA21484C-670D-4309-A0DC-9421633955B3}"/>
            </a:ext>
          </a:extLst>
        </xdr:cNvPr>
        <xdr:cNvSpPr>
          <a:spLocks noChangeAspect="1" noChangeArrowheads="1"/>
        </xdr:cNvSpPr>
      </xdr:nvSpPr>
      <xdr:spPr bwMode="auto">
        <a:xfrm>
          <a:off x="1885950" y="14363700"/>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3444</xdr:rowOff>
    </xdr:to>
    <xdr:sp macro="" textlink="">
      <xdr:nvSpPr>
        <xdr:cNvPr id="83" name="AutoShape 102" descr="+">
          <a:extLst>
            <a:ext uri="{FF2B5EF4-FFF2-40B4-BE49-F238E27FC236}">
              <a16:creationId xmlns:a16="http://schemas.microsoft.com/office/drawing/2014/main" id="{8B1DDBE5-3867-4A65-A35E-BBEB9CDF7070}"/>
            </a:ext>
          </a:extLst>
        </xdr:cNvPr>
        <xdr:cNvSpPr>
          <a:spLocks noChangeAspect="1" noChangeArrowheads="1"/>
        </xdr:cNvSpPr>
      </xdr:nvSpPr>
      <xdr:spPr bwMode="auto">
        <a:xfrm>
          <a:off x="1885950" y="14363700"/>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3448</xdr:rowOff>
    </xdr:to>
    <xdr:sp macro="" textlink="">
      <xdr:nvSpPr>
        <xdr:cNvPr id="84" name="AutoShape 103" descr="+">
          <a:extLst>
            <a:ext uri="{FF2B5EF4-FFF2-40B4-BE49-F238E27FC236}">
              <a16:creationId xmlns:a16="http://schemas.microsoft.com/office/drawing/2014/main" id="{F38A855C-3EB7-42C6-B304-0DCA3AB3628D}"/>
            </a:ext>
          </a:extLst>
        </xdr:cNvPr>
        <xdr:cNvSpPr>
          <a:spLocks noChangeAspect="1" noChangeArrowheads="1"/>
        </xdr:cNvSpPr>
      </xdr:nvSpPr>
      <xdr:spPr bwMode="auto">
        <a:xfrm>
          <a:off x="1885950" y="14363700"/>
          <a:ext cx="304800" cy="2105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3444</xdr:rowOff>
    </xdr:to>
    <xdr:sp macro="" textlink="">
      <xdr:nvSpPr>
        <xdr:cNvPr id="85" name="AutoShape 104" descr="+">
          <a:extLst>
            <a:ext uri="{FF2B5EF4-FFF2-40B4-BE49-F238E27FC236}">
              <a16:creationId xmlns:a16="http://schemas.microsoft.com/office/drawing/2014/main" id="{D3DED53C-9742-4E28-99A5-A135887BA279}"/>
            </a:ext>
          </a:extLst>
        </xdr:cNvPr>
        <xdr:cNvSpPr>
          <a:spLocks noChangeAspect="1" noChangeArrowheads="1"/>
        </xdr:cNvSpPr>
      </xdr:nvSpPr>
      <xdr:spPr bwMode="auto">
        <a:xfrm>
          <a:off x="1885950" y="14363700"/>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172133</xdr:rowOff>
    </xdr:to>
    <xdr:sp macro="" textlink="">
      <xdr:nvSpPr>
        <xdr:cNvPr id="86" name="AutoShape 105" descr="+">
          <a:extLst>
            <a:ext uri="{FF2B5EF4-FFF2-40B4-BE49-F238E27FC236}">
              <a16:creationId xmlns:a16="http://schemas.microsoft.com/office/drawing/2014/main" id="{2EA45A86-6A52-49A2-9959-CD27401E6534}"/>
            </a:ext>
          </a:extLst>
        </xdr:cNvPr>
        <xdr:cNvSpPr>
          <a:spLocks noChangeAspect="1" noChangeArrowheads="1"/>
        </xdr:cNvSpPr>
      </xdr:nvSpPr>
      <xdr:spPr bwMode="auto">
        <a:xfrm>
          <a:off x="1885950" y="14363700"/>
          <a:ext cx="304800" cy="17213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200705</xdr:rowOff>
    </xdr:to>
    <xdr:sp macro="" textlink="">
      <xdr:nvSpPr>
        <xdr:cNvPr id="87" name="AutoShape 106" descr="+">
          <a:extLst>
            <a:ext uri="{FF2B5EF4-FFF2-40B4-BE49-F238E27FC236}">
              <a16:creationId xmlns:a16="http://schemas.microsoft.com/office/drawing/2014/main" id="{B2FD527F-5F0C-4D51-83D8-3E8AEDEF9BBA}"/>
            </a:ext>
          </a:extLst>
        </xdr:cNvPr>
        <xdr:cNvSpPr>
          <a:spLocks noChangeAspect="1" noChangeArrowheads="1"/>
        </xdr:cNvSpPr>
      </xdr:nvSpPr>
      <xdr:spPr bwMode="auto">
        <a:xfrm>
          <a:off x="1885950" y="14363700"/>
          <a:ext cx="304800" cy="20070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204110</xdr:rowOff>
    </xdr:to>
    <xdr:sp macro="" textlink="">
      <xdr:nvSpPr>
        <xdr:cNvPr id="88" name="AutoShape 107" descr="+">
          <a:extLst>
            <a:ext uri="{FF2B5EF4-FFF2-40B4-BE49-F238E27FC236}">
              <a16:creationId xmlns:a16="http://schemas.microsoft.com/office/drawing/2014/main" id="{BCCC54FE-986F-4D95-933C-BB3BDEBFBD33}"/>
            </a:ext>
          </a:extLst>
        </xdr:cNvPr>
        <xdr:cNvSpPr>
          <a:spLocks noChangeAspect="1" noChangeArrowheads="1"/>
        </xdr:cNvSpPr>
      </xdr:nvSpPr>
      <xdr:spPr bwMode="auto">
        <a:xfrm>
          <a:off x="1885950" y="14363700"/>
          <a:ext cx="304800" cy="2041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171730</xdr:rowOff>
    </xdr:to>
    <xdr:sp macro="" textlink="">
      <xdr:nvSpPr>
        <xdr:cNvPr id="89" name="AutoShape 108" descr="+">
          <a:extLst>
            <a:ext uri="{FF2B5EF4-FFF2-40B4-BE49-F238E27FC236}">
              <a16:creationId xmlns:a16="http://schemas.microsoft.com/office/drawing/2014/main" id="{5ED33D49-91AC-44ED-846B-2D2FC4C082D2}"/>
            </a:ext>
          </a:extLst>
        </xdr:cNvPr>
        <xdr:cNvSpPr>
          <a:spLocks noChangeAspect="1" noChangeArrowheads="1"/>
        </xdr:cNvSpPr>
      </xdr:nvSpPr>
      <xdr:spPr bwMode="auto">
        <a:xfrm>
          <a:off x="1885950" y="14363700"/>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181938</xdr:rowOff>
    </xdr:to>
    <xdr:sp macro="" textlink="">
      <xdr:nvSpPr>
        <xdr:cNvPr id="90" name="AutoShape 109" descr="+">
          <a:extLst>
            <a:ext uri="{FF2B5EF4-FFF2-40B4-BE49-F238E27FC236}">
              <a16:creationId xmlns:a16="http://schemas.microsoft.com/office/drawing/2014/main" id="{48C6F3CA-AEA3-4BB2-8D31-ACA1F3F444A9}"/>
            </a:ext>
          </a:extLst>
        </xdr:cNvPr>
        <xdr:cNvSpPr>
          <a:spLocks noChangeAspect="1" noChangeArrowheads="1"/>
        </xdr:cNvSpPr>
      </xdr:nvSpPr>
      <xdr:spPr bwMode="auto">
        <a:xfrm>
          <a:off x="1885950" y="14363700"/>
          <a:ext cx="304800" cy="18193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171730</xdr:rowOff>
    </xdr:to>
    <xdr:sp macro="" textlink="">
      <xdr:nvSpPr>
        <xdr:cNvPr id="91" name="AutoShape 110" descr="+">
          <a:extLst>
            <a:ext uri="{FF2B5EF4-FFF2-40B4-BE49-F238E27FC236}">
              <a16:creationId xmlns:a16="http://schemas.microsoft.com/office/drawing/2014/main" id="{F8984E97-5190-4ACF-AAC5-C846113ADC3C}"/>
            </a:ext>
          </a:extLst>
        </xdr:cNvPr>
        <xdr:cNvSpPr>
          <a:spLocks noChangeAspect="1" noChangeArrowheads="1"/>
        </xdr:cNvSpPr>
      </xdr:nvSpPr>
      <xdr:spPr bwMode="auto">
        <a:xfrm>
          <a:off x="1885950" y="14363700"/>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3446</xdr:rowOff>
    </xdr:to>
    <xdr:sp macro="" textlink="">
      <xdr:nvSpPr>
        <xdr:cNvPr id="92" name="AutoShape 111" descr="+">
          <a:extLst>
            <a:ext uri="{FF2B5EF4-FFF2-40B4-BE49-F238E27FC236}">
              <a16:creationId xmlns:a16="http://schemas.microsoft.com/office/drawing/2014/main" id="{30CB829A-EE44-4F2D-8E9C-B221F877B52E}"/>
            </a:ext>
          </a:extLst>
        </xdr:cNvPr>
        <xdr:cNvSpPr>
          <a:spLocks noChangeAspect="1" noChangeArrowheads="1"/>
        </xdr:cNvSpPr>
      </xdr:nvSpPr>
      <xdr:spPr bwMode="auto">
        <a:xfrm>
          <a:off x="1885950" y="14363700"/>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3447</xdr:rowOff>
    </xdr:to>
    <xdr:sp macro="" textlink="">
      <xdr:nvSpPr>
        <xdr:cNvPr id="93" name="AutoShape 112" descr="+">
          <a:extLst>
            <a:ext uri="{FF2B5EF4-FFF2-40B4-BE49-F238E27FC236}">
              <a16:creationId xmlns:a16="http://schemas.microsoft.com/office/drawing/2014/main" id="{7DFEB1ED-20C3-44EC-9507-7E90E40E1122}"/>
            </a:ext>
          </a:extLst>
        </xdr:cNvPr>
        <xdr:cNvSpPr>
          <a:spLocks noChangeAspect="1" noChangeArrowheads="1"/>
        </xdr:cNvSpPr>
      </xdr:nvSpPr>
      <xdr:spPr bwMode="auto">
        <a:xfrm>
          <a:off x="1885950" y="14363700"/>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191458</xdr:rowOff>
    </xdr:to>
    <xdr:sp macro="" textlink="">
      <xdr:nvSpPr>
        <xdr:cNvPr id="94" name="AutoShape 113" descr="+">
          <a:extLst>
            <a:ext uri="{FF2B5EF4-FFF2-40B4-BE49-F238E27FC236}">
              <a16:creationId xmlns:a16="http://schemas.microsoft.com/office/drawing/2014/main" id="{931B3F1B-E3B9-40DF-97A3-DF90D232DAA7}"/>
            </a:ext>
          </a:extLst>
        </xdr:cNvPr>
        <xdr:cNvSpPr>
          <a:spLocks noChangeAspect="1" noChangeArrowheads="1"/>
        </xdr:cNvSpPr>
      </xdr:nvSpPr>
      <xdr:spPr bwMode="auto">
        <a:xfrm>
          <a:off x="1885950" y="14363700"/>
          <a:ext cx="304800" cy="1914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3446</xdr:rowOff>
    </xdr:to>
    <xdr:sp macro="" textlink="">
      <xdr:nvSpPr>
        <xdr:cNvPr id="95" name="AutoShape 114" descr="+">
          <a:extLst>
            <a:ext uri="{FF2B5EF4-FFF2-40B4-BE49-F238E27FC236}">
              <a16:creationId xmlns:a16="http://schemas.microsoft.com/office/drawing/2014/main" id="{82F66115-499D-473A-B663-69160405CD95}"/>
            </a:ext>
          </a:extLst>
        </xdr:cNvPr>
        <xdr:cNvSpPr>
          <a:spLocks noChangeAspect="1" noChangeArrowheads="1"/>
        </xdr:cNvSpPr>
      </xdr:nvSpPr>
      <xdr:spPr bwMode="auto">
        <a:xfrm>
          <a:off x="1885950" y="14363700"/>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3447</xdr:rowOff>
    </xdr:to>
    <xdr:sp macro="" textlink="">
      <xdr:nvSpPr>
        <xdr:cNvPr id="96" name="AutoShape 115" descr="+">
          <a:extLst>
            <a:ext uri="{FF2B5EF4-FFF2-40B4-BE49-F238E27FC236}">
              <a16:creationId xmlns:a16="http://schemas.microsoft.com/office/drawing/2014/main" id="{D9BFB521-100A-4939-BC21-F7B4D8AD34A9}"/>
            </a:ext>
          </a:extLst>
        </xdr:cNvPr>
        <xdr:cNvSpPr>
          <a:spLocks noChangeAspect="1" noChangeArrowheads="1"/>
        </xdr:cNvSpPr>
      </xdr:nvSpPr>
      <xdr:spPr bwMode="auto">
        <a:xfrm>
          <a:off x="1885950" y="14363700"/>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3447</xdr:rowOff>
    </xdr:to>
    <xdr:sp macro="" textlink="">
      <xdr:nvSpPr>
        <xdr:cNvPr id="97" name="AutoShape 116" descr="+">
          <a:extLst>
            <a:ext uri="{FF2B5EF4-FFF2-40B4-BE49-F238E27FC236}">
              <a16:creationId xmlns:a16="http://schemas.microsoft.com/office/drawing/2014/main" id="{9FF8B099-933D-4E80-AD39-77DD8752957E}"/>
            </a:ext>
          </a:extLst>
        </xdr:cNvPr>
        <xdr:cNvSpPr>
          <a:spLocks noChangeAspect="1" noChangeArrowheads="1"/>
        </xdr:cNvSpPr>
      </xdr:nvSpPr>
      <xdr:spPr bwMode="auto">
        <a:xfrm>
          <a:off x="1885950" y="14363700"/>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3446</xdr:rowOff>
    </xdr:to>
    <xdr:sp macro="" textlink="">
      <xdr:nvSpPr>
        <xdr:cNvPr id="98" name="AutoShape 117" descr="+">
          <a:extLst>
            <a:ext uri="{FF2B5EF4-FFF2-40B4-BE49-F238E27FC236}">
              <a16:creationId xmlns:a16="http://schemas.microsoft.com/office/drawing/2014/main" id="{7AB36D03-B7B9-4358-A30B-89DE41E95DC3}"/>
            </a:ext>
          </a:extLst>
        </xdr:cNvPr>
        <xdr:cNvSpPr>
          <a:spLocks noChangeAspect="1" noChangeArrowheads="1"/>
        </xdr:cNvSpPr>
      </xdr:nvSpPr>
      <xdr:spPr bwMode="auto">
        <a:xfrm>
          <a:off x="1885950" y="14363700"/>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3446</xdr:rowOff>
    </xdr:to>
    <xdr:sp macro="" textlink="">
      <xdr:nvSpPr>
        <xdr:cNvPr id="99" name="AutoShape 118" descr="+">
          <a:extLst>
            <a:ext uri="{FF2B5EF4-FFF2-40B4-BE49-F238E27FC236}">
              <a16:creationId xmlns:a16="http://schemas.microsoft.com/office/drawing/2014/main" id="{B0C99FEA-CFE8-43C4-BF3D-809ABB6E143B}"/>
            </a:ext>
          </a:extLst>
        </xdr:cNvPr>
        <xdr:cNvSpPr>
          <a:spLocks noChangeAspect="1" noChangeArrowheads="1"/>
        </xdr:cNvSpPr>
      </xdr:nvSpPr>
      <xdr:spPr bwMode="auto">
        <a:xfrm>
          <a:off x="1885950" y="14363700"/>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3444</xdr:rowOff>
    </xdr:to>
    <xdr:sp macro="" textlink="">
      <xdr:nvSpPr>
        <xdr:cNvPr id="100" name="AutoShape 119" descr="+">
          <a:extLst>
            <a:ext uri="{FF2B5EF4-FFF2-40B4-BE49-F238E27FC236}">
              <a16:creationId xmlns:a16="http://schemas.microsoft.com/office/drawing/2014/main" id="{32F9AAF0-2175-4848-982A-C94350F42F06}"/>
            </a:ext>
          </a:extLst>
        </xdr:cNvPr>
        <xdr:cNvSpPr>
          <a:spLocks noChangeAspect="1" noChangeArrowheads="1"/>
        </xdr:cNvSpPr>
      </xdr:nvSpPr>
      <xdr:spPr bwMode="auto">
        <a:xfrm>
          <a:off x="1885950" y="14363700"/>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171731</xdr:rowOff>
    </xdr:to>
    <xdr:sp macro="" textlink="">
      <xdr:nvSpPr>
        <xdr:cNvPr id="101" name="AutoShape 120" descr="+">
          <a:extLst>
            <a:ext uri="{FF2B5EF4-FFF2-40B4-BE49-F238E27FC236}">
              <a16:creationId xmlns:a16="http://schemas.microsoft.com/office/drawing/2014/main" id="{A1DAB761-9958-4547-B40B-7F03DE6A3C8A}"/>
            </a:ext>
          </a:extLst>
        </xdr:cNvPr>
        <xdr:cNvSpPr>
          <a:spLocks noChangeAspect="1" noChangeArrowheads="1"/>
        </xdr:cNvSpPr>
      </xdr:nvSpPr>
      <xdr:spPr bwMode="auto">
        <a:xfrm>
          <a:off x="1885950" y="14363700"/>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171730</xdr:rowOff>
    </xdr:to>
    <xdr:sp macro="" textlink="">
      <xdr:nvSpPr>
        <xdr:cNvPr id="102" name="AutoShape 121" descr="+">
          <a:extLst>
            <a:ext uri="{FF2B5EF4-FFF2-40B4-BE49-F238E27FC236}">
              <a16:creationId xmlns:a16="http://schemas.microsoft.com/office/drawing/2014/main" id="{6CA4A6B5-F477-4E12-A0FF-22242E0C800D}"/>
            </a:ext>
          </a:extLst>
        </xdr:cNvPr>
        <xdr:cNvSpPr>
          <a:spLocks noChangeAspect="1" noChangeArrowheads="1"/>
        </xdr:cNvSpPr>
      </xdr:nvSpPr>
      <xdr:spPr bwMode="auto">
        <a:xfrm>
          <a:off x="1885950" y="14363700"/>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181938</xdr:rowOff>
    </xdr:to>
    <xdr:sp macro="" textlink="">
      <xdr:nvSpPr>
        <xdr:cNvPr id="103" name="AutoShape 122" descr="+">
          <a:extLst>
            <a:ext uri="{FF2B5EF4-FFF2-40B4-BE49-F238E27FC236}">
              <a16:creationId xmlns:a16="http://schemas.microsoft.com/office/drawing/2014/main" id="{0C447087-8298-4637-B729-9741464C1402}"/>
            </a:ext>
          </a:extLst>
        </xdr:cNvPr>
        <xdr:cNvSpPr>
          <a:spLocks noChangeAspect="1" noChangeArrowheads="1"/>
        </xdr:cNvSpPr>
      </xdr:nvSpPr>
      <xdr:spPr bwMode="auto">
        <a:xfrm>
          <a:off x="1885950" y="14363700"/>
          <a:ext cx="304800" cy="18193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176492</xdr:rowOff>
    </xdr:to>
    <xdr:sp macro="" textlink="">
      <xdr:nvSpPr>
        <xdr:cNvPr id="104" name="AutoShape 123" descr="+">
          <a:extLst>
            <a:ext uri="{FF2B5EF4-FFF2-40B4-BE49-F238E27FC236}">
              <a16:creationId xmlns:a16="http://schemas.microsoft.com/office/drawing/2014/main" id="{4C706908-4AD1-4946-B099-9A7C7F99D071}"/>
            </a:ext>
          </a:extLst>
        </xdr:cNvPr>
        <xdr:cNvSpPr>
          <a:spLocks noChangeAspect="1" noChangeArrowheads="1"/>
        </xdr:cNvSpPr>
      </xdr:nvSpPr>
      <xdr:spPr bwMode="auto">
        <a:xfrm>
          <a:off x="1885950" y="14363700"/>
          <a:ext cx="304800" cy="17649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3447</xdr:rowOff>
    </xdr:to>
    <xdr:sp macro="" textlink="">
      <xdr:nvSpPr>
        <xdr:cNvPr id="105" name="AutoShape 124" descr="+">
          <a:extLst>
            <a:ext uri="{FF2B5EF4-FFF2-40B4-BE49-F238E27FC236}">
              <a16:creationId xmlns:a16="http://schemas.microsoft.com/office/drawing/2014/main" id="{01A72F50-6616-474E-8401-77D63277BED6}"/>
            </a:ext>
          </a:extLst>
        </xdr:cNvPr>
        <xdr:cNvSpPr>
          <a:spLocks noChangeAspect="1" noChangeArrowheads="1"/>
        </xdr:cNvSpPr>
      </xdr:nvSpPr>
      <xdr:spPr bwMode="auto">
        <a:xfrm>
          <a:off x="1885950" y="14363700"/>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3445</xdr:rowOff>
    </xdr:to>
    <xdr:sp macro="" textlink="">
      <xdr:nvSpPr>
        <xdr:cNvPr id="106" name="AutoShape 125" descr="+">
          <a:extLst>
            <a:ext uri="{FF2B5EF4-FFF2-40B4-BE49-F238E27FC236}">
              <a16:creationId xmlns:a16="http://schemas.microsoft.com/office/drawing/2014/main" id="{0FEA4761-6D29-4502-862A-D8F90E25BF2C}"/>
            </a:ext>
          </a:extLst>
        </xdr:cNvPr>
        <xdr:cNvSpPr>
          <a:spLocks noChangeAspect="1" noChangeArrowheads="1"/>
        </xdr:cNvSpPr>
      </xdr:nvSpPr>
      <xdr:spPr bwMode="auto">
        <a:xfrm>
          <a:off x="1885950" y="14363700"/>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3447</xdr:rowOff>
    </xdr:to>
    <xdr:sp macro="" textlink="">
      <xdr:nvSpPr>
        <xdr:cNvPr id="107" name="AutoShape 126" descr="+">
          <a:extLst>
            <a:ext uri="{FF2B5EF4-FFF2-40B4-BE49-F238E27FC236}">
              <a16:creationId xmlns:a16="http://schemas.microsoft.com/office/drawing/2014/main" id="{FB5CC868-A565-4C9E-A297-7CC63CADAE2A}"/>
            </a:ext>
          </a:extLst>
        </xdr:cNvPr>
        <xdr:cNvSpPr>
          <a:spLocks noChangeAspect="1" noChangeArrowheads="1"/>
        </xdr:cNvSpPr>
      </xdr:nvSpPr>
      <xdr:spPr bwMode="auto">
        <a:xfrm>
          <a:off x="1885950" y="14363700"/>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203088</xdr:rowOff>
    </xdr:to>
    <xdr:sp macro="" textlink="">
      <xdr:nvSpPr>
        <xdr:cNvPr id="108" name="AutoShape 127" descr="+">
          <a:extLst>
            <a:ext uri="{FF2B5EF4-FFF2-40B4-BE49-F238E27FC236}">
              <a16:creationId xmlns:a16="http://schemas.microsoft.com/office/drawing/2014/main" id="{1C2EDDB9-192B-4891-B6BA-F8DE060DBBCC}"/>
            </a:ext>
          </a:extLst>
        </xdr:cNvPr>
        <xdr:cNvSpPr>
          <a:spLocks noChangeAspect="1" noChangeArrowheads="1"/>
        </xdr:cNvSpPr>
      </xdr:nvSpPr>
      <xdr:spPr bwMode="auto">
        <a:xfrm>
          <a:off x="1885950" y="14363700"/>
          <a:ext cx="304800" cy="20308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203089</xdr:rowOff>
    </xdr:to>
    <xdr:sp macro="" textlink="">
      <xdr:nvSpPr>
        <xdr:cNvPr id="109" name="AutoShape 128" descr="+">
          <a:extLst>
            <a:ext uri="{FF2B5EF4-FFF2-40B4-BE49-F238E27FC236}">
              <a16:creationId xmlns:a16="http://schemas.microsoft.com/office/drawing/2014/main" id="{67091BB2-E449-412E-992F-6F146A9253B7}"/>
            </a:ext>
          </a:extLst>
        </xdr:cNvPr>
        <xdr:cNvSpPr>
          <a:spLocks noChangeAspect="1" noChangeArrowheads="1"/>
        </xdr:cNvSpPr>
      </xdr:nvSpPr>
      <xdr:spPr bwMode="auto">
        <a:xfrm>
          <a:off x="1885950" y="14363700"/>
          <a:ext cx="304800" cy="20308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3444</xdr:rowOff>
    </xdr:to>
    <xdr:sp macro="" textlink="">
      <xdr:nvSpPr>
        <xdr:cNvPr id="110" name="AutoShape 129" descr="+">
          <a:extLst>
            <a:ext uri="{FF2B5EF4-FFF2-40B4-BE49-F238E27FC236}">
              <a16:creationId xmlns:a16="http://schemas.microsoft.com/office/drawing/2014/main" id="{457B58EA-C45E-4B9C-B27B-F5B441FA43DB}"/>
            </a:ext>
          </a:extLst>
        </xdr:cNvPr>
        <xdr:cNvSpPr>
          <a:spLocks noChangeAspect="1" noChangeArrowheads="1"/>
        </xdr:cNvSpPr>
      </xdr:nvSpPr>
      <xdr:spPr bwMode="auto">
        <a:xfrm>
          <a:off x="1885950" y="14363700"/>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171730</xdr:rowOff>
    </xdr:to>
    <xdr:sp macro="" textlink="">
      <xdr:nvSpPr>
        <xdr:cNvPr id="111" name="AutoShape 130" descr="+">
          <a:extLst>
            <a:ext uri="{FF2B5EF4-FFF2-40B4-BE49-F238E27FC236}">
              <a16:creationId xmlns:a16="http://schemas.microsoft.com/office/drawing/2014/main" id="{5E23988C-6ADF-46A4-BAE8-D0818BA9B455}"/>
            </a:ext>
          </a:extLst>
        </xdr:cNvPr>
        <xdr:cNvSpPr>
          <a:spLocks noChangeAspect="1" noChangeArrowheads="1"/>
        </xdr:cNvSpPr>
      </xdr:nvSpPr>
      <xdr:spPr bwMode="auto">
        <a:xfrm>
          <a:off x="1885950" y="14363700"/>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171731</xdr:rowOff>
    </xdr:to>
    <xdr:sp macro="" textlink="">
      <xdr:nvSpPr>
        <xdr:cNvPr id="112" name="AutoShape 131" descr="+">
          <a:extLst>
            <a:ext uri="{FF2B5EF4-FFF2-40B4-BE49-F238E27FC236}">
              <a16:creationId xmlns:a16="http://schemas.microsoft.com/office/drawing/2014/main" id="{FC1F60BA-3283-45C7-AF60-606695FFAE0D}"/>
            </a:ext>
          </a:extLst>
        </xdr:cNvPr>
        <xdr:cNvSpPr>
          <a:spLocks noChangeAspect="1" noChangeArrowheads="1"/>
        </xdr:cNvSpPr>
      </xdr:nvSpPr>
      <xdr:spPr bwMode="auto">
        <a:xfrm>
          <a:off x="1885950" y="14363700"/>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3446</xdr:rowOff>
    </xdr:to>
    <xdr:sp macro="" textlink="">
      <xdr:nvSpPr>
        <xdr:cNvPr id="113" name="AutoShape 132" descr="+">
          <a:extLst>
            <a:ext uri="{FF2B5EF4-FFF2-40B4-BE49-F238E27FC236}">
              <a16:creationId xmlns:a16="http://schemas.microsoft.com/office/drawing/2014/main" id="{4278CC1F-FBC6-48C4-BF80-23FE31C5C50B}"/>
            </a:ext>
          </a:extLst>
        </xdr:cNvPr>
        <xdr:cNvSpPr>
          <a:spLocks noChangeAspect="1" noChangeArrowheads="1"/>
        </xdr:cNvSpPr>
      </xdr:nvSpPr>
      <xdr:spPr bwMode="auto">
        <a:xfrm>
          <a:off x="1885950" y="14363700"/>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3446</xdr:rowOff>
    </xdr:to>
    <xdr:sp macro="" textlink="">
      <xdr:nvSpPr>
        <xdr:cNvPr id="114" name="AutoShape 133" descr="+">
          <a:extLst>
            <a:ext uri="{FF2B5EF4-FFF2-40B4-BE49-F238E27FC236}">
              <a16:creationId xmlns:a16="http://schemas.microsoft.com/office/drawing/2014/main" id="{D86B475E-3EF2-4989-BFBC-F6951544098B}"/>
            </a:ext>
          </a:extLst>
        </xdr:cNvPr>
        <xdr:cNvSpPr>
          <a:spLocks noChangeAspect="1" noChangeArrowheads="1"/>
        </xdr:cNvSpPr>
      </xdr:nvSpPr>
      <xdr:spPr bwMode="auto">
        <a:xfrm>
          <a:off x="1885950" y="14363700"/>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3445</xdr:rowOff>
    </xdr:to>
    <xdr:sp macro="" textlink="">
      <xdr:nvSpPr>
        <xdr:cNvPr id="115" name="AutoShape 134" descr="+">
          <a:extLst>
            <a:ext uri="{FF2B5EF4-FFF2-40B4-BE49-F238E27FC236}">
              <a16:creationId xmlns:a16="http://schemas.microsoft.com/office/drawing/2014/main" id="{15C99F99-8771-4855-8C88-D957E9FA6B81}"/>
            </a:ext>
          </a:extLst>
        </xdr:cNvPr>
        <xdr:cNvSpPr>
          <a:spLocks noChangeAspect="1" noChangeArrowheads="1"/>
        </xdr:cNvSpPr>
      </xdr:nvSpPr>
      <xdr:spPr bwMode="auto">
        <a:xfrm>
          <a:off x="1885950" y="14363700"/>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3446</xdr:rowOff>
    </xdr:to>
    <xdr:sp macro="" textlink="">
      <xdr:nvSpPr>
        <xdr:cNvPr id="116" name="AutoShape 135" descr="+">
          <a:extLst>
            <a:ext uri="{FF2B5EF4-FFF2-40B4-BE49-F238E27FC236}">
              <a16:creationId xmlns:a16="http://schemas.microsoft.com/office/drawing/2014/main" id="{E6DEDB27-8295-4D3F-BC74-E41C98D67DE5}"/>
            </a:ext>
          </a:extLst>
        </xdr:cNvPr>
        <xdr:cNvSpPr>
          <a:spLocks noChangeAspect="1" noChangeArrowheads="1"/>
        </xdr:cNvSpPr>
      </xdr:nvSpPr>
      <xdr:spPr bwMode="auto">
        <a:xfrm>
          <a:off x="1885950" y="14363700"/>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3446</xdr:rowOff>
    </xdr:to>
    <xdr:sp macro="" textlink="">
      <xdr:nvSpPr>
        <xdr:cNvPr id="117" name="AutoShape 136" descr="+">
          <a:extLst>
            <a:ext uri="{FF2B5EF4-FFF2-40B4-BE49-F238E27FC236}">
              <a16:creationId xmlns:a16="http://schemas.microsoft.com/office/drawing/2014/main" id="{9B185CA9-9219-45B8-B2A0-CB9E3E21CDC9}"/>
            </a:ext>
          </a:extLst>
        </xdr:cNvPr>
        <xdr:cNvSpPr>
          <a:spLocks noChangeAspect="1" noChangeArrowheads="1"/>
        </xdr:cNvSpPr>
      </xdr:nvSpPr>
      <xdr:spPr bwMode="auto">
        <a:xfrm>
          <a:off x="1885950" y="14363700"/>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3447</xdr:rowOff>
    </xdr:to>
    <xdr:sp macro="" textlink="">
      <xdr:nvSpPr>
        <xdr:cNvPr id="118" name="AutoShape 137" descr="+">
          <a:extLst>
            <a:ext uri="{FF2B5EF4-FFF2-40B4-BE49-F238E27FC236}">
              <a16:creationId xmlns:a16="http://schemas.microsoft.com/office/drawing/2014/main" id="{B0B1C91D-55C8-4201-83D6-DBBFFE1EA7A2}"/>
            </a:ext>
          </a:extLst>
        </xdr:cNvPr>
        <xdr:cNvSpPr>
          <a:spLocks noChangeAspect="1" noChangeArrowheads="1"/>
        </xdr:cNvSpPr>
      </xdr:nvSpPr>
      <xdr:spPr bwMode="auto">
        <a:xfrm>
          <a:off x="1885950" y="14363700"/>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3446</xdr:rowOff>
    </xdr:to>
    <xdr:sp macro="" textlink="">
      <xdr:nvSpPr>
        <xdr:cNvPr id="119" name="AutoShape 138" descr="+">
          <a:extLst>
            <a:ext uri="{FF2B5EF4-FFF2-40B4-BE49-F238E27FC236}">
              <a16:creationId xmlns:a16="http://schemas.microsoft.com/office/drawing/2014/main" id="{F8065886-6A04-4F74-A982-3CB14809CB47}"/>
            </a:ext>
          </a:extLst>
        </xdr:cNvPr>
        <xdr:cNvSpPr>
          <a:spLocks noChangeAspect="1" noChangeArrowheads="1"/>
        </xdr:cNvSpPr>
      </xdr:nvSpPr>
      <xdr:spPr bwMode="auto">
        <a:xfrm>
          <a:off x="1885950" y="14363700"/>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3444</xdr:rowOff>
    </xdr:to>
    <xdr:sp macro="" textlink="">
      <xdr:nvSpPr>
        <xdr:cNvPr id="120" name="AutoShape 139" descr="+">
          <a:extLst>
            <a:ext uri="{FF2B5EF4-FFF2-40B4-BE49-F238E27FC236}">
              <a16:creationId xmlns:a16="http://schemas.microsoft.com/office/drawing/2014/main" id="{7BA04146-61DF-4C38-95A6-41D58AF3EC37}"/>
            </a:ext>
          </a:extLst>
        </xdr:cNvPr>
        <xdr:cNvSpPr>
          <a:spLocks noChangeAspect="1" noChangeArrowheads="1"/>
        </xdr:cNvSpPr>
      </xdr:nvSpPr>
      <xdr:spPr bwMode="auto">
        <a:xfrm>
          <a:off x="1885950" y="14363700"/>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171732</xdr:rowOff>
    </xdr:to>
    <xdr:sp macro="" textlink="">
      <xdr:nvSpPr>
        <xdr:cNvPr id="121" name="AutoShape 140" descr="+">
          <a:extLst>
            <a:ext uri="{FF2B5EF4-FFF2-40B4-BE49-F238E27FC236}">
              <a16:creationId xmlns:a16="http://schemas.microsoft.com/office/drawing/2014/main" id="{D9D91792-214A-401F-9483-D022730C4270}"/>
            </a:ext>
          </a:extLst>
        </xdr:cNvPr>
        <xdr:cNvSpPr>
          <a:spLocks noChangeAspect="1" noChangeArrowheads="1"/>
        </xdr:cNvSpPr>
      </xdr:nvSpPr>
      <xdr:spPr bwMode="auto">
        <a:xfrm>
          <a:off x="1885950" y="14363700"/>
          <a:ext cx="304800" cy="17173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171730</xdr:rowOff>
    </xdr:to>
    <xdr:sp macro="" textlink="">
      <xdr:nvSpPr>
        <xdr:cNvPr id="122" name="AutoShape 141" descr="+">
          <a:extLst>
            <a:ext uri="{FF2B5EF4-FFF2-40B4-BE49-F238E27FC236}">
              <a16:creationId xmlns:a16="http://schemas.microsoft.com/office/drawing/2014/main" id="{79079A7D-D795-40DB-96D3-7D89841D8CD1}"/>
            </a:ext>
          </a:extLst>
        </xdr:cNvPr>
        <xdr:cNvSpPr>
          <a:spLocks noChangeAspect="1" noChangeArrowheads="1"/>
        </xdr:cNvSpPr>
      </xdr:nvSpPr>
      <xdr:spPr bwMode="auto">
        <a:xfrm>
          <a:off x="1885950" y="14363700"/>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171731</xdr:rowOff>
    </xdr:to>
    <xdr:sp macro="" textlink="">
      <xdr:nvSpPr>
        <xdr:cNvPr id="123" name="AutoShape 142" descr="+">
          <a:extLst>
            <a:ext uri="{FF2B5EF4-FFF2-40B4-BE49-F238E27FC236}">
              <a16:creationId xmlns:a16="http://schemas.microsoft.com/office/drawing/2014/main" id="{FB65DF43-B678-4F90-94BB-3B911C54BF66}"/>
            </a:ext>
          </a:extLst>
        </xdr:cNvPr>
        <xdr:cNvSpPr>
          <a:spLocks noChangeAspect="1" noChangeArrowheads="1"/>
        </xdr:cNvSpPr>
      </xdr:nvSpPr>
      <xdr:spPr bwMode="auto">
        <a:xfrm>
          <a:off x="1885950" y="14363700"/>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119850</xdr:rowOff>
    </xdr:to>
    <xdr:sp macro="" textlink="">
      <xdr:nvSpPr>
        <xdr:cNvPr id="124" name="AutoShape 143" descr="+">
          <a:extLst>
            <a:ext uri="{FF2B5EF4-FFF2-40B4-BE49-F238E27FC236}">
              <a16:creationId xmlns:a16="http://schemas.microsoft.com/office/drawing/2014/main" id="{BE9C61E7-1BDD-43D8-8A0B-A1C4FD439DE0}"/>
            </a:ext>
          </a:extLst>
        </xdr:cNvPr>
        <xdr:cNvSpPr>
          <a:spLocks noChangeAspect="1" noChangeArrowheads="1"/>
        </xdr:cNvSpPr>
      </xdr:nvSpPr>
      <xdr:spPr bwMode="auto">
        <a:xfrm>
          <a:off x="1885950" y="14363700"/>
          <a:ext cx="304800" cy="3273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3445</xdr:rowOff>
    </xdr:to>
    <xdr:sp macro="" textlink="">
      <xdr:nvSpPr>
        <xdr:cNvPr id="125" name="AutoShape 144" descr="+">
          <a:extLst>
            <a:ext uri="{FF2B5EF4-FFF2-40B4-BE49-F238E27FC236}">
              <a16:creationId xmlns:a16="http://schemas.microsoft.com/office/drawing/2014/main" id="{BE10ED6A-F335-4E3F-A728-B70AA1D143D7}"/>
            </a:ext>
          </a:extLst>
        </xdr:cNvPr>
        <xdr:cNvSpPr>
          <a:spLocks noChangeAspect="1" noChangeArrowheads="1"/>
        </xdr:cNvSpPr>
      </xdr:nvSpPr>
      <xdr:spPr bwMode="auto">
        <a:xfrm>
          <a:off x="1885950" y="14363700"/>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3446</xdr:rowOff>
    </xdr:to>
    <xdr:sp macro="" textlink="">
      <xdr:nvSpPr>
        <xdr:cNvPr id="126" name="AutoShape 145" descr="+">
          <a:extLst>
            <a:ext uri="{FF2B5EF4-FFF2-40B4-BE49-F238E27FC236}">
              <a16:creationId xmlns:a16="http://schemas.microsoft.com/office/drawing/2014/main" id="{18D949BF-73FA-47F6-B81F-70DB10E2DF88}"/>
            </a:ext>
          </a:extLst>
        </xdr:cNvPr>
        <xdr:cNvSpPr>
          <a:spLocks noChangeAspect="1" noChangeArrowheads="1"/>
        </xdr:cNvSpPr>
      </xdr:nvSpPr>
      <xdr:spPr bwMode="auto">
        <a:xfrm>
          <a:off x="1885950" y="14363700"/>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3446</xdr:rowOff>
    </xdr:to>
    <xdr:sp macro="" textlink="">
      <xdr:nvSpPr>
        <xdr:cNvPr id="127" name="AutoShape 146" descr="+">
          <a:extLst>
            <a:ext uri="{FF2B5EF4-FFF2-40B4-BE49-F238E27FC236}">
              <a16:creationId xmlns:a16="http://schemas.microsoft.com/office/drawing/2014/main" id="{BBC5F53F-9287-4A86-B28E-300624F158B2}"/>
            </a:ext>
          </a:extLst>
        </xdr:cNvPr>
        <xdr:cNvSpPr>
          <a:spLocks noChangeAspect="1" noChangeArrowheads="1"/>
        </xdr:cNvSpPr>
      </xdr:nvSpPr>
      <xdr:spPr bwMode="auto">
        <a:xfrm>
          <a:off x="1885950" y="14363700"/>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171730</xdr:rowOff>
    </xdr:to>
    <xdr:sp macro="" textlink="">
      <xdr:nvSpPr>
        <xdr:cNvPr id="128" name="AutoShape 147" descr="+">
          <a:extLst>
            <a:ext uri="{FF2B5EF4-FFF2-40B4-BE49-F238E27FC236}">
              <a16:creationId xmlns:a16="http://schemas.microsoft.com/office/drawing/2014/main" id="{077FE62A-19E5-4D3B-9BF2-ECCFDD6613E0}"/>
            </a:ext>
          </a:extLst>
        </xdr:cNvPr>
        <xdr:cNvSpPr>
          <a:spLocks noChangeAspect="1" noChangeArrowheads="1"/>
        </xdr:cNvSpPr>
      </xdr:nvSpPr>
      <xdr:spPr bwMode="auto">
        <a:xfrm>
          <a:off x="1885950" y="14363700"/>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181936</xdr:rowOff>
    </xdr:to>
    <xdr:sp macro="" textlink="">
      <xdr:nvSpPr>
        <xdr:cNvPr id="129" name="AutoShape 148" descr="+">
          <a:extLst>
            <a:ext uri="{FF2B5EF4-FFF2-40B4-BE49-F238E27FC236}">
              <a16:creationId xmlns:a16="http://schemas.microsoft.com/office/drawing/2014/main" id="{806E3BD3-C22B-41F3-9893-EADEC960A91E}"/>
            </a:ext>
          </a:extLst>
        </xdr:cNvPr>
        <xdr:cNvSpPr>
          <a:spLocks noChangeAspect="1" noChangeArrowheads="1"/>
        </xdr:cNvSpPr>
      </xdr:nvSpPr>
      <xdr:spPr bwMode="auto">
        <a:xfrm>
          <a:off x="1885950" y="14363700"/>
          <a:ext cx="304800" cy="18193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191460</xdr:rowOff>
    </xdr:to>
    <xdr:sp macro="" textlink="">
      <xdr:nvSpPr>
        <xdr:cNvPr id="130" name="AutoShape 149" descr="+">
          <a:extLst>
            <a:ext uri="{FF2B5EF4-FFF2-40B4-BE49-F238E27FC236}">
              <a16:creationId xmlns:a16="http://schemas.microsoft.com/office/drawing/2014/main" id="{1F8DC56F-CDE3-442C-B813-0CDCB2E2FEC3}"/>
            </a:ext>
          </a:extLst>
        </xdr:cNvPr>
        <xdr:cNvSpPr>
          <a:spLocks noChangeAspect="1" noChangeArrowheads="1"/>
        </xdr:cNvSpPr>
      </xdr:nvSpPr>
      <xdr:spPr bwMode="auto">
        <a:xfrm>
          <a:off x="1885950" y="14363700"/>
          <a:ext cx="304800" cy="1914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3445</xdr:rowOff>
    </xdr:to>
    <xdr:sp macro="" textlink="">
      <xdr:nvSpPr>
        <xdr:cNvPr id="131" name="AutoShape 150" descr="+">
          <a:extLst>
            <a:ext uri="{FF2B5EF4-FFF2-40B4-BE49-F238E27FC236}">
              <a16:creationId xmlns:a16="http://schemas.microsoft.com/office/drawing/2014/main" id="{B38B9ED3-CEA9-4AA3-8DB8-F61CDC77AB8C}"/>
            </a:ext>
          </a:extLst>
        </xdr:cNvPr>
        <xdr:cNvSpPr>
          <a:spLocks noChangeAspect="1" noChangeArrowheads="1"/>
        </xdr:cNvSpPr>
      </xdr:nvSpPr>
      <xdr:spPr bwMode="auto">
        <a:xfrm>
          <a:off x="1885950" y="14363700"/>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3447</xdr:rowOff>
    </xdr:to>
    <xdr:sp macro="" textlink="">
      <xdr:nvSpPr>
        <xdr:cNvPr id="132" name="AutoShape 151" descr="+">
          <a:extLst>
            <a:ext uri="{FF2B5EF4-FFF2-40B4-BE49-F238E27FC236}">
              <a16:creationId xmlns:a16="http://schemas.microsoft.com/office/drawing/2014/main" id="{83FFDA36-2214-4058-A641-7234E4959E13}"/>
            </a:ext>
          </a:extLst>
        </xdr:cNvPr>
        <xdr:cNvSpPr>
          <a:spLocks noChangeAspect="1" noChangeArrowheads="1"/>
        </xdr:cNvSpPr>
      </xdr:nvSpPr>
      <xdr:spPr bwMode="auto">
        <a:xfrm>
          <a:off x="1885950" y="14363700"/>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3447</xdr:rowOff>
    </xdr:to>
    <xdr:sp macro="" textlink="">
      <xdr:nvSpPr>
        <xdr:cNvPr id="133" name="AutoShape 152" descr="+">
          <a:extLst>
            <a:ext uri="{FF2B5EF4-FFF2-40B4-BE49-F238E27FC236}">
              <a16:creationId xmlns:a16="http://schemas.microsoft.com/office/drawing/2014/main" id="{47FE67D6-9620-477F-B183-649066F44946}"/>
            </a:ext>
          </a:extLst>
        </xdr:cNvPr>
        <xdr:cNvSpPr>
          <a:spLocks noChangeAspect="1" noChangeArrowheads="1"/>
        </xdr:cNvSpPr>
      </xdr:nvSpPr>
      <xdr:spPr bwMode="auto">
        <a:xfrm>
          <a:off x="1885950" y="14363700"/>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97316</xdr:rowOff>
    </xdr:to>
    <xdr:sp macro="" textlink="">
      <xdr:nvSpPr>
        <xdr:cNvPr id="134" name="AutoShape 153" descr="+">
          <a:extLst>
            <a:ext uri="{FF2B5EF4-FFF2-40B4-BE49-F238E27FC236}">
              <a16:creationId xmlns:a16="http://schemas.microsoft.com/office/drawing/2014/main" id="{C750C15A-17DA-48B6-A138-9CD2F3616650}"/>
            </a:ext>
          </a:extLst>
        </xdr:cNvPr>
        <xdr:cNvSpPr>
          <a:spLocks noChangeAspect="1" noChangeArrowheads="1"/>
        </xdr:cNvSpPr>
      </xdr:nvSpPr>
      <xdr:spPr bwMode="auto">
        <a:xfrm>
          <a:off x="1885950" y="14363700"/>
          <a:ext cx="304800" cy="30479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172410</xdr:rowOff>
    </xdr:to>
    <xdr:sp macro="" textlink="">
      <xdr:nvSpPr>
        <xdr:cNvPr id="135" name="AutoShape 154" descr="+">
          <a:extLst>
            <a:ext uri="{FF2B5EF4-FFF2-40B4-BE49-F238E27FC236}">
              <a16:creationId xmlns:a16="http://schemas.microsoft.com/office/drawing/2014/main" id="{A9F3BE68-3173-4FC1-8218-F76EFEEEDB66}"/>
            </a:ext>
          </a:extLst>
        </xdr:cNvPr>
        <xdr:cNvSpPr>
          <a:spLocks noChangeAspect="1" noChangeArrowheads="1"/>
        </xdr:cNvSpPr>
      </xdr:nvSpPr>
      <xdr:spPr bwMode="auto">
        <a:xfrm>
          <a:off x="1885950" y="14363700"/>
          <a:ext cx="304800" cy="1724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3445</xdr:rowOff>
    </xdr:to>
    <xdr:sp macro="" textlink="">
      <xdr:nvSpPr>
        <xdr:cNvPr id="136" name="AutoShape 155" descr="+">
          <a:extLst>
            <a:ext uri="{FF2B5EF4-FFF2-40B4-BE49-F238E27FC236}">
              <a16:creationId xmlns:a16="http://schemas.microsoft.com/office/drawing/2014/main" id="{CFE5E853-7D72-47CB-A1BD-71AD225CD7B5}"/>
            </a:ext>
          </a:extLst>
        </xdr:cNvPr>
        <xdr:cNvSpPr>
          <a:spLocks noChangeAspect="1" noChangeArrowheads="1"/>
        </xdr:cNvSpPr>
      </xdr:nvSpPr>
      <xdr:spPr bwMode="auto">
        <a:xfrm>
          <a:off x="1885950" y="14363700"/>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204110</xdr:rowOff>
    </xdr:to>
    <xdr:sp macro="" textlink="">
      <xdr:nvSpPr>
        <xdr:cNvPr id="137" name="AutoShape 156" descr="+">
          <a:extLst>
            <a:ext uri="{FF2B5EF4-FFF2-40B4-BE49-F238E27FC236}">
              <a16:creationId xmlns:a16="http://schemas.microsoft.com/office/drawing/2014/main" id="{9C1E6FB4-6314-4E42-B0E4-C9B3521151D2}"/>
            </a:ext>
          </a:extLst>
        </xdr:cNvPr>
        <xdr:cNvSpPr>
          <a:spLocks noChangeAspect="1" noChangeArrowheads="1"/>
        </xdr:cNvSpPr>
      </xdr:nvSpPr>
      <xdr:spPr bwMode="auto">
        <a:xfrm>
          <a:off x="1885950" y="14363700"/>
          <a:ext cx="304800" cy="2041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204112</xdr:rowOff>
    </xdr:to>
    <xdr:sp macro="" textlink="">
      <xdr:nvSpPr>
        <xdr:cNvPr id="138" name="AutoShape 157" descr="+">
          <a:extLst>
            <a:ext uri="{FF2B5EF4-FFF2-40B4-BE49-F238E27FC236}">
              <a16:creationId xmlns:a16="http://schemas.microsoft.com/office/drawing/2014/main" id="{4E7F1852-8723-49F8-BA68-1EE539564E7A}"/>
            </a:ext>
          </a:extLst>
        </xdr:cNvPr>
        <xdr:cNvSpPr>
          <a:spLocks noChangeAspect="1" noChangeArrowheads="1"/>
        </xdr:cNvSpPr>
      </xdr:nvSpPr>
      <xdr:spPr bwMode="auto">
        <a:xfrm>
          <a:off x="1885950" y="14363700"/>
          <a:ext cx="304800" cy="2041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171730</xdr:rowOff>
    </xdr:to>
    <xdr:sp macro="" textlink="">
      <xdr:nvSpPr>
        <xdr:cNvPr id="139" name="AutoShape 158" descr="+">
          <a:extLst>
            <a:ext uri="{FF2B5EF4-FFF2-40B4-BE49-F238E27FC236}">
              <a16:creationId xmlns:a16="http://schemas.microsoft.com/office/drawing/2014/main" id="{0A7F2371-EA6B-48E7-9525-22817FEDDC95}"/>
            </a:ext>
          </a:extLst>
        </xdr:cNvPr>
        <xdr:cNvSpPr>
          <a:spLocks noChangeAspect="1" noChangeArrowheads="1"/>
        </xdr:cNvSpPr>
      </xdr:nvSpPr>
      <xdr:spPr bwMode="auto">
        <a:xfrm>
          <a:off x="1885950" y="14363700"/>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171731</xdr:rowOff>
    </xdr:to>
    <xdr:sp macro="" textlink="">
      <xdr:nvSpPr>
        <xdr:cNvPr id="140" name="AutoShape 159" descr="+">
          <a:extLst>
            <a:ext uri="{FF2B5EF4-FFF2-40B4-BE49-F238E27FC236}">
              <a16:creationId xmlns:a16="http://schemas.microsoft.com/office/drawing/2014/main" id="{A08A6988-4239-4D37-8E27-0E391278890D}"/>
            </a:ext>
          </a:extLst>
        </xdr:cNvPr>
        <xdr:cNvSpPr>
          <a:spLocks noChangeAspect="1" noChangeArrowheads="1"/>
        </xdr:cNvSpPr>
      </xdr:nvSpPr>
      <xdr:spPr bwMode="auto">
        <a:xfrm>
          <a:off x="1885950" y="14363700"/>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186696</xdr:rowOff>
    </xdr:to>
    <xdr:sp macro="" textlink="">
      <xdr:nvSpPr>
        <xdr:cNvPr id="141" name="AutoShape 160" descr="+">
          <a:extLst>
            <a:ext uri="{FF2B5EF4-FFF2-40B4-BE49-F238E27FC236}">
              <a16:creationId xmlns:a16="http://schemas.microsoft.com/office/drawing/2014/main" id="{3608B497-2BDA-473B-AC78-45485B287644}"/>
            </a:ext>
          </a:extLst>
        </xdr:cNvPr>
        <xdr:cNvSpPr>
          <a:spLocks noChangeAspect="1" noChangeArrowheads="1"/>
        </xdr:cNvSpPr>
      </xdr:nvSpPr>
      <xdr:spPr bwMode="auto">
        <a:xfrm>
          <a:off x="1885950" y="14363700"/>
          <a:ext cx="304800" cy="18669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171732</xdr:rowOff>
    </xdr:to>
    <xdr:sp macro="" textlink="">
      <xdr:nvSpPr>
        <xdr:cNvPr id="142" name="AutoShape 161" descr="+">
          <a:extLst>
            <a:ext uri="{FF2B5EF4-FFF2-40B4-BE49-F238E27FC236}">
              <a16:creationId xmlns:a16="http://schemas.microsoft.com/office/drawing/2014/main" id="{0AD84F3C-AFAC-47BD-A242-9B70236DFA32}"/>
            </a:ext>
          </a:extLst>
        </xdr:cNvPr>
        <xdr:cNvSpPr>
          <a:spLocks noChangeAspect="1" noChangeArrowheads="1"/>
        </xdr:cNvSpPr>
      </xdr:nvSpPr>
      <xdr:spPr bwMode="auto">
        <a:xfrm>
          <a:off x="1885950" y="14363700"/>
          <a:ext cx="304800" cy="17173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3445</xdr:rowOff>
    </xdr:to>
    <xdr:sp macro="" textlink="">
      <xdr:nvSpPr>
        <xdr:cNvPr id="143" name="AutoShape 162" descr="+">
          <a:extLst>
            <a:ext uri="{FF2B5EF4-FFF2-40B4-BE49-F238E27FC236}">
              <a16:creationId xmlns:a16="http://schemas.microsoft.com/office/drawing/2014/main" id="{C5FC1F1C-B250-4199-8C5A-FA3DAC706261}"/>
            </a:ext>
          </a:extLst>
        </xdr:cNvPr>
        <xdr:cNvSpPr>
          <a:spLocks noChangeAspect="1" noChangeArrowheads="1"/>
        </xdr:cNvSpPr>
      </xdr:nvSpPr>
      <xdr:spPr bwMode="auto">
        <a:xfrm>
          <a:off x="1885950" y="14363700"/>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3447</xdr:rowOff>
    </xdr:to>
    <xdr:sp macro="" textlink="">
      <xdr:nvSpPr>
        <xdr:cNvPr id="144" name="AutoShape 163" descr="+">
          <a:extLst>
            <a:ext uri="{FF2B5EF4-FFF2-40B4-BE49-F238E27FC236}">
              <a16:creationId xmlns:a16="http://schemas.microsoft.com/office/drawing/2014/main" id="{9E0D9B14-55B2-4199-8FA6-7671C93E2637}"/>
            </a:ext>
          </a:extLst>
        </xdr:cNvPr>
        <xdr:cNvSpPr>
          <a:spLocks noChangeAspect="1" noChangeArrowheads="1"/>
        </xdr:cNvSpPr>
      </xdr:nvSpPr>
      <xdr:spPr bwMode="auto">
        <a:xfrm>
          <a:off x="1885950" y="14363700"/>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191460</xdr:rowOff>
    </xdr:to>
    <xdr:sp macro="" textlink="">
      <xdr:nvSpPr>
        <xdr:cNvPr id="145" name="AutoShape 164" descr="+">
          <a:extLst>
            <a:ext uri="{FF2B5EF4-FFF2-40B4-BE49-F238E27FC236}">
              <a16:creationId xmlns:a16="http://schemas.microsoft.com/office/drawing/2014/main" id="{F3DA4E87-9663-467F-A30E-C896EB55D570}"/>
            </a:ext>
          </a:extLst>
        </xdr:cNvPr>
        <xdr:cNvSpPr>
          <a:spLocks noChangeAspect="1" noChangeArrowheads="1"/>
        </xdr:cNvSpPr>
      </xdr:nvSpPr>
      <xdr:spPr bwMode="auto">
        <a:xfrm>
          <a:off x="1885950" y="14363700"/>
          <a:ext cx="304800" cy="1914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3445</xdr:rowOff>
    </xdr:to>
    <xdr:sp macro="" textlink="">
      <xdr:nvSpPr>
        <xdr:cNvPr id="146" name="AutoShape 165" descr="+">
          <a:extLst>
            <a:ext uri="{FF2B5EF4-FFF2-40B4-BE49-F238E27FC236}">
              <a16:creationId xmlns:a16="http://schemas.microsoft.com/office/drawing/2014/main" id="{0ED6FE88-DC82-45A1-B103-661911EECF0A}"/>
            </a:ext>
          </a:extLst>
        </xdr:cNvPr>
        <xdr:cNvSpPr>
          <a:spLocks noChangeAspect="1" noChangeArrowheads="1"/>
        </xdr:cNvSpPr>
      </xdr:nvSpPr>
      <xdr:spPr bwMode="auto">
        <a:xfrm>
          <a:off x="1885950" y="14363700"/>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3445</xdr:rowOff>
    </xdr:to>
    <xdr:sp macro="" textlink="">
      <xdr:nvSpPr>
        <xdr:cNvPr id="147" name="AutoShape 166" descr="+">
          <a:extLst>
            <a:ext uri="{FF2B5EF4-FFF2-40B4-BE49-F238E27FC236}">
              <a16:creationId xmlns:a16="http://schemas.microsoft.com/office/drawing/2014/main" id="{A43C048D-26ED-4070-9171-C7392A6D9882}"/>
            </a:ext>
          </a:extLst>
        </xdr:cNvPr>
        <xdr:cNvSpPr>
          <a:spLocks noChangeAspect="1" noChangeArrowheads="1"/>
        </xdr:cNvSpPr>
      </xdr:nvSpPr>
      <xdr:spPr bwMode="auto">
        <a:xfrm>
          <a:off x="1885950" y="14363700"/>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3448</xdr:rowOff>
    </xdr:to>
    <xdr:sp macro="" textlink="">
      <xdr:nvSpPr>
        <xdr:cNvPr id="148" name="AutoShape 167" descr="+">
          <a:extLst>
            <a:ext uri="{FF2B5EF4-FFF2-40B4-BE49-F238E27FC236}">
              <a16:creationId xmlns:a16="http://schemas.microsoft.com/office/drawing/2014/main" id="{76623A5A-9E83-45B0-8EB1-C990717A83EF}"/>
            </a:ext>
          </a:extLst>
        </xdr:cNvPr>
        <xdr:cNvSpPr>
          <a:spLocks noChangeAspect="1" noChangeArrowheads="1"/>
        </xdr:cNvSpPr>
      </xdr:nvSpPr>
      <xdr:spPr bwMode="auto">
        <a:xfrm>
          <a:off x="1885950" y="14363700"/>
          <a:ext cx="304800" cy="2105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101405</xdr:rowOff>
    </xdr:to>
    <xdr:sp macro="" textlink="">
      <xdr:nvSpPr>
        <xdr:cNvPr id="149" name="AutoShape 168" descr="+">
          <a:extLst>
            <a:ext uri="{FF2B5EF4-FFF2-40B4-BE49-F238E27FC236}">
              <a16:creationId xmlns:a16="http://schemas.microsoft.com/office/drawing/2014/main" id="{AAAF2F24-0BB0-4977-BC13-0E152F32688E}"/>
            </a:ext>
          </a:extLst>
        </xdr:cNvPr>
        <xdr:cNvSpPr>
          <a:spLocks noChangeAspect="1" noChangeArrowheads="1"/>
        </xdr:cNvSpPr>
      </xdr:nvSpPr>
      <xdr:spPr bwMode="auto">
        <a:xfrm>
          <a:off x="1885950" y="14363700"/>
          <a:ext cx="304800" cy="3088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175533</xdr:rowOff>
    </xdr:to>
    <xdr:sp macro="" textlink="">
      <xdr:nvSpPr>
        <xdr:cNvPr id="150" name="AutoShape 169" descr="+">
          <a:extLst>
            <a:ext uri="{FF2B5EF4-FFF2-40B4-BE49-F238E27FC236}">
              <a16:creationId xmlns:a16="http://schemas.microsoft.com/office/drawing/2014/main" id="{5EF1A99B-1DA1-4F12-9EDD-757CB3E20ECA}"/>
            </a:ext>
          </a:extLst>
        </xdr:cNvPr>
        <xdr:cNvSpPr>
          <a:spLocks noChangeAspect="1" noChangeArrowheads="1"/>
        </xdr:cNvSpPr>
      </xdr:nvSpPr>
      <xdr:spPr bwMode="auto">
        <a:xfrm>
          <a:off x="1885950" y="14363700"/>
          <a:ext cx="304800" cy="17553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204106</xdr:rowOff>
    </xdr:to>
    <xdr:sp macro="" textlink="">
      <xdr:nvSpPr>
        <xdr:cNvPr id="151" name="AutoShape 170" descr="+">
          <a:extLst>
            <a:ext uri="{FF2B5EF4-FFF2-40B4-BE49-F238E27FC236}">
              <a16:creationId xmlns:a16="http://schemas.microsoft.com/office/drawing/2014/main" id="{0F6650C7-66E8-4704-8ACF-BC61154DD176}"/>
            </a:ext>
          </a:extLst>
        </xdr:cNvPr>
        <xdr:cNvSpPr>
          <a:spLocks noChangeAspect="1" noChangeArrowheads="1"/>
        </xdr:cNvSpPr>
      </xdr:nvSpPr>
      <xdr:spPr bwMode="auto">
        <a:xfrm>
          <a:off x="1885950" y="14363700"/>
          <a:ext cx="304800" cy="20410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101403</xdr:rowOff>
    </xdr:to>
    <xdr:sp macro="" textlink="">
      <xdr:nvSpPr>
        <xdr:cNvPr id="152" name="AutoShape 171" descr="+">
          <a:extLst>
            <a:ext uri="{FF2B5EF4-FFF2-40B4-BE49-F238E27FC236}">
              <a16:creationId xmlns:a16="http://schemas.microsoft.com/office/drawing/2014/main" id="{14B4E6AF-570E-4283-96D1-BB59FB43C146}"/>
            </a:ext>
          </a:extLst>
        </xdr:cNvPr>
        <xdr:cNvSpPr>
          <a:spLocks noChangeAspect="1" noChangeArrowheads="1"/>
        </xdr:cNvSpPr>
      </xdr:nvSpPr>
      <xdr:spPr bwMode="auto">
        <a:xfrm>
          <a:off x="1885950" y="14363700"/>
          <a:ext cx="304800" cy="3088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204108</xdr:rowOff>
    </xdr:to>
    <xdr:sp macro="" textlink="">
      <xdr:nvSpPr>
        <xdr:cNvPr id="153" name="AutoShape 172" descr="+">
          <a:extLst>
            <a:ext uri="{FF2B5EF4-FFF2-40B4-BE49-F238E27FC236}">
              <a16:creationId xmlns:a16="http://schemas.microsoft.com/office/drawing/2014/main" id="{5878ECF3-F141-4E02-A03E-BF6AB671B2C0}"/>
            </a:ext>
          </a:extLst>
        </xdr:cNvPr>
        <xdr:cNvSpPr>
          <a:spLocks noChangeAspect="1" noChangeArrowheads="1"/>
        </xdr:cNvSpPr>
      </xdr:nvSpPr>
      <xdr:spPr bwMode="auto">
        <a:xfrm>
          <a:off x="1885950" y="14363700"/>
          <a:ext cx="304800" cy="2041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171730</xdr:rowOff>
    </xdr:to>
    <xdr:sp macro="" textlink="">
      <xdr:nvSpPr>
        <xdr:cNvPr id="154" name="AutoShape 173" descr="+">
          <a:extLst>
            <a:ext uri="{FF2B5EF4-FFF2-40B4-BE49-F238E27FC236}">
              <a16:creationId xmlns:a16="http://schemas.microsoft.com/office/drawing/2014/main" id="{0C5D1FD6-9514-4035-906B-C7F52E5CDBE9}"/>
            </a:ext>
          </a:extLst>
        </xdr:cNvPr>
        <xdr:cNvSpPr>
          <a:spLocks noChangeAspect="1" noChangeArrowheads="1"/>
        </xdr:cNvSpPr>
      </xdr:nvSpPr>
      <xdr:spPr bwMode="auto">
        <a:xfrm>
          <a:off x="1885950" y="14363700"/>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173131</xdr:rowOff>
    </xdr:to>
    <xdr:sp macro="" textlink="">
      <xdr:nvSpPr>
        <xdr:cNvPr id="155" name="AutoShape 174" descr="+">
          <a:extLst>
            <a:ext uri="{FF2B5EF4-FFF2-40B4-BE49-F238E27FC236}">
              <a16:creationId xmlns:a16="http://schemas.microsoft.com/office/drawing/2014/main" id="{06076D28-F05A-4794-91C9-D13893DCD9CE}"/>
            </a:ext>
          </a:extLst>
        </xdr:cNvPr>
        <xdr:cNvSpPr>
          <a:spLocks noChangeAspect="1" noChangeArrowheads="1"/>
        </xdr:cNvSpPr>
      </xdr:nvSpPr>
      <xdr:spPr bwMode="auto">
        <a:xfrm>
          <a:off x="1885950" y="14363700"/>
          <a:ext cx="304800" cy="17313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171730</xdr:rowOff>
    </xdr:to>
    <xdr:sp macro="" textlink="">
      <xdr:nvSpPr>
        <xdr:cNvPr id="156" name="AutoShape 175" descr="+">
          <a:extLst>
            <a:ext uri="{FF2B5EF4-FFF2-40B4-BE49-F238E27FC236}">
              <a16:creationId xmlns:a16="http://schemas.microsoft.com/office/drawing/2014/main" id="{906E27AD-45A8-4BE0-B13F-2CA4C2D336DD}"/>
            </a:ext>
          </a:extLst>
        </xdr:cNvPr>
        <xdr:cNvSpPr>
          <a:spLocks noChangeAspect="1" noChangeArrowheads="1"/>
        </xdr:cNvSpPr>
      </xdr:nvSpPr>
      <xdr:spPr bwMode="auto">
        <a:xfrm>
          <a:off x="1885950" y="14363700"/>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3444</xdr:rowOff>
    </xdr:to>
    <xdr:sp macro="" textlink="">
      <xdr:nvSpPr>
        <xdr:cNvPr id="157" name="AutoShape 176" descr="+">
          <a:extLst>
            <a:ext uri="{FF2B5EF4-FFF2-40B4-BE49-F238E27FC236}">
              <a16:creationId xmlns:a16="http://schemas.microsoft.com/office/drawing/2014/main" id="{9829D025-13F8-4133-97DE-11622E8E8A46}"/>
            </a:ext>
          </a:extLst>
        </xdr:cNvPr>
        <xdr:cNvSpPr>
          <a:spLocks noChangeAspect="1" noChangeArrowheads="1"/>
        </xdr:cNvSpPr>
      </xdr:nvSpPr>
      <xdr:spPr bwMode="auto">
        <a:xfrm>
          <a:off x="1885950" y="14363700"/>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3447</xdr:rowOff>
    </xdr:to>
    <xdr:sp macro="" textlink="">
      <xdr:nvSpPr>
        <xdr:cNvPr id="158" name="AutoShape 177" descr="+">
          <a:extLst>
            <a:ext uri="{FF2B5EF4-FFF2-40B4-BE49-F238E27FC236}">
              <a16:creationId xmlns:a16="http://schemas.microsoft.com/office/drawing/2014/main" id="{6139D42E-005E-41B5-9020-7ED2B4D96F78}"/>
            </a:ext>
          </a:extLst>
        </xdr:cNvPr>
        <xdr:cNvSpPr>
          <a:spLocks noChangeAspect="1" noChangeArrowheads="1"/>
        </xdr:cNvSpPr>
      </xdr:nvSpPr>
      <xdr:spPr bwMode="auto">
        <a:xfrm>
          <a:off x="1885950" y="14363700"/>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3447</xdr:rowOff>
    </xdr:to>
    <xdr:sp macro="" textlink="">
      <xdr:nvSpPr>
        <xdr:cNvPr id="159" name="AutoShape 178" descr="+">
          <a:extLst>
            <a:ext uri="{FF2B5EF4-FFF2-40B4-BE49-F238E27FC236}">
              <a16:creationId xmlns:a16="http://schemas.microsoft.com/office/drawing/2014/main" id="{97899760-0598-497A-811D-43EFA97A01BB}"/>
            </a:ext>
          </a:extLst>
        </xdr:cNvPr>
        <xdr:cNvSpPr>
          <a:spLocks noChangeAspect="1" noChangeArrowheads="1"/>
        </xdr:cNvSpPr>
      </xdr:nvSpPr>
      <xdr:spPr bwMode="auto">
        <a:xfrm>
          <a:off x="1885950" y="14363700"/>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171730</xdr:rowOff>
    </xdr:to>
    <xdr:sp macro="" textlink="">
      <xdr:nvSpPr>
        <xdr:cNvPr id="160" name="AutoShape 179" descr="+">
          <a:extLst>
            <a:ext uri="{FF2B5EF4-FFF2-40B4-BE49-F238E27FC236}">
              <a16:creationId xmlns:a16="http://schemas.microsoft.com/office/drawing/2014/main" id="{5E1E70D1-3EC4-467A-98DF-B20EB10765CA}"/>
            </a:ext>
          </a:extLst>
        </xdr:cNvPr>
        <xdr:cNvSpPr>
          <a:spLocks noChangeAspect="1" noChangeArrowheads="1"/>
        </xdr:cNvSpPr>
      </xdr:nvSpPr>
      <xdr:spPr bwMode="auto">
        <a:xfrm>
          <a:off x="1885950" y="14363700"/>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191462</xdr:rowOff>
    </xdr:to>
    <xdr:sp macro="" textlink="">
      <xdr:nvSpPr>
        <xdr:cNvPr id="161" name="AutoShape 180" descr="+">
          <a:extLst>
            <a:ext uri="{FF2B5EF4-FFF2-40B4-BE49-F238E27FC236}">
              <a16:creationId xmlns:a16="http://schemas.microsoft.com/office/drawing/2014/main" id="{E0C580CF-24A7-4EC0-9EF7-DBB291348931}"/>
            </a:ext>
          </a:extLst>
        </xdr:cNvPr>
        <xdr:cNvSpPr>
          <a:spLocks noChangeAspect="1" noChangeArrowheads="1"/>
        </xdr:cNvSpPr>
      </xdr:nvSpPr>
      <xdr:spPr bwMode="auto">
        <a:xfrm>
          <a:off x="1885950" y="14363700"/>
          <a:ext cx="304800" cy="19146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3443</xdr:rowOff>
    </xdr:to>
    <xdr:sp macro="" textlink="">
      <xdr:nvSpPr>
        <xdr:cNvPr id="162" name="AutoShape 181" descr="+">
          <a:extLst>
            <a:ext uri="{FF2B5EF4-FFF2-40B4-BE49-F238E27FC236}">
              <a16:creationId xmlns:a16="http://schemas.microsoft.com/office/drawing/2014/main" id="{75FB0854-7289-4914-BF0C-C395785FF79F}"/>
            </a:ext>
          </a:extLst>
        </xdr:cNvPr>
        <xdr:cNvSpPr>
          <a:spLocks noChangeAspect="1" noChangeArrowheads="1"/>
        </xdr:cNvSpPr>
      </xdr:nvSpPr>
      <xdr:spPr bwMode="auto">
        <a:xfrm>
          <a:off x="1885950" y="14363700"/>
          <a:ext cx="304800" cy="2105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102436</xdr:rowOff>
    </xdr:to>
    <xdr:sp macro="" textlink="">
      <xdr:nvSpPr>
        <xdr:cNvPr id="163" name="AutoShape 182" descr="+">
          <a:extLst>
            <a:ext uri="{FF2B5EF4-FFF2-40B4-BE49-F238E27FC236}">
              <a16:creationId xmlns:a16="http://schemas.microsoft.com/office/drawing/2014/main" id="{1F946297-2ED4-4B09-A78F-BEDE7DAC11EB}"/>
            </a:ext>
          </a:extLst>
        </xdr:cNvPr>
        <xdr:cNvSpPr>
          <a:spLocks noChangeAspect="1" noChangeArrowheads="1"/>
        </xdr:cNvSpPr>
      </xdr:nvSpPr>
      <xdr:spPr bwMode="auto">
        <a:xfrm>
          <a:off x="1885950" y="14363700"/>
          <a:ext cx="304800" cy="30991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3447</xdr:rowOff>
    </xdr:to>
    <xdr:sp macro="" textlink="">
      <xdr:nvSpPr>
        <xdr:cNvPr id="164" name="AutoShape 183" descr="+">
          <a:extLst>
            <a:ext uri="{FF2B5EF4-FFF2-40B4-BE49-F238E27FC236}">
              <a16:creationId xmlns:a16="http://schemas.microsoft.com/office/drawing/2014/main" id="{E929AA49-4A74-48F8-878B-7AC639ED29AB}"/>
            </a:ext>
          </a:extLst>
        </xdr:cNvPr>
        <xdr:cNvSpPr>
          <a:spLocks noChangeAspect="1" noChangeArrowheads="1"/>
        </xdr:cNvSpPr>
      </xdr:nvSpPr>
      <xdr:spPr bwMode="auto">
        <a:xfrm>
          <a:off x="1885950" y="14363700"/>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3447</xdr:rowOff>
    </xdr:to>
    <xdr:sp macro="" textlink="">
      <xdr:nvSpPr>
        <xdr:cNvPr id="165" name="AutoShape 184" descr="+">
          <a:extLst>
            <a:ext uri="{FF2B5EF4-FFF2-40B4-BE49-F238E27FC236}">
              <a16:creationId xmlns:a16="http://schemas.microsoft.com/office/drawing/2014/main" id="{26C0A8A5-D129-456B-88E5-F69DFD804EF4}"/>
            </a:ext>
          </a:extLst>
        </xdr:cNvPr>
        <xdr:cNvSpPr>
          <a:spLocks noChangeAspect="1" noChangeArrowheads="1"/>
        </xdr:cNvSpPr>
      </xdr:nvSpPr>
      <xdr:spPr bwMode="auto">
        <a:xfrm>
          <a:off x="1885950" y="14363700"/>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204109</xdr:rowOff>
    </xdr:to>
    <xdr:sp macro="" textlink="">
      <xdr:nvSpPr>
        <xdr:cNvPr id="166" name="AutoShape 185" descr="+">
          <a:extLst>
            <a:ext uri="{FF2B5EF4-FFF2-40B4-BE49-F238E27FC236}">
              <a16:creationId xmlns:a16="http://schemas.microsoft.com/office/drawing/2014/main" id="{C7F0F5B1-03E0-46D7-ABDD-3BF52DD75CD3}"/>
            </a:ext>
          </a:extLst>
        </xdr:cNvPr>
        <xdr:cNvSpPr>
          <a:spLocks noChangeAspect="1" noChangeArrowheads="1"/>
        </xdr:cNvSpPr>
      </xdr:nvSpPr>
      <xdr:spPr bwMode="auto">
        <a:xfrm>
          <a:off x="1885950" y="14363700"/>
          <a:ext cx="304800" cy="2041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176492</xdr:rowOff>
    </xdr:to>
    <xdr:sp macro="" textlink="">
      <xdr:nvSpPr>
        <xdr:cNvPr id="167" name="AutoShape 186" descr="+">
          <a:extLst>
            <a:ext uri="{FF2B5EF4-FFF2-40B4-BE49-F238E27FC236}">
              <a16:creationId xmlns:a16="http://schemas.microsoft.com/office/drawing/2014/main" id="{BBF351BA-C2DA-4F92-A935-4E9F07D8F8CE}"/>
            </a:ext>
          </a:extLst>
        </xdr:cNvPr>
        <xdr:cNvSpPr>
          <a:spLocks noChangeAspect="1" noChangeArrowheads="1"/>
        </xdr:cNvSpPr>
      </xdr:nvSpPr>
      <xdr:spPr bwMode="auto">
        <a:xfrm>
          <a:off x="1885950" y="14363700"/>
          <a:ext cx="304800" cy="17649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171731</xdr:rowOff>
    </xdr:to>
    <xdr:sp macro="" textlink="">
      <xdr:nvSpPr>
        <xdr:cNvPr id="168" name="AutoShape 187" descr="+">
          <a:extLst>
            <a:ext uri="{FF2B5EF4-FFF2-40B4-BE49-F238E27FC236}">
              <a16:creationId xmlns:a16="http://schemas.microsoft.com/office/drawing/2014/main" id="{0AE23E9B-5B7F-45F6-83FA-CBFB12E4440F}"/>
            </a:ext>
          </a:extLst>
        </xdr:cNvPr>
        <xdr:cNvSpPr>
          <a:spLocks noChangeAspect="1" noChangeArrowheads="1"/>
        </xdr:cNvSpPr>
      </xdr:nvSpPr>
      <xdr:spPr bwMode="auto">
        <a:xfrm>
          <a:off x="1885950" y="14363700"/>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3448</xdr:rowOff>
    </xdr:to>
    <xdr:sp macro="" textlink="">
      <xdr:nvSpPr>
        <xdr:cNvPr id="169" name="AutoShape 188" descr="+">
          <a:extLst>
            <a:ext uri="{FF2B5EF4-FFF2-40B4-BE49-F238E27FC236}">
              <a16:creationId xmlns:a16="http://schemas.microsoft.com/office/drawing/2014/main" id="{62332931-47B7-4C42-9460-5DE08E8A573B}"/>
            </a:ext>
          </a:extLst>
        </xdr:cNvPr>
        <xdr:cNvSpPr>
          <a:spLocks noChangeAspect="1" noChangeArrowheads="1"/>
        </xdr:cNvSpPr>
      </xdr:nvSpPr>
      <xdr:spPr bwMode="auto">
        <a:xfrm>
          <a:off x="1885950" y="14363700"/>
          <a:ext cx="304800" cy="2105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3446</xdr:rowOff>
    </xdr:to>
    <xdr:sp macro="" textlink="">
      <xdr:nvSpPr>
        <xdr:cNvPr id="170" name="AutoShape 189" descr="+">
          <a:extLst>
            <a:ext uri="{FF2B5EF4-FFF2-40B4-BE49-F238E27FC236}">
              <a16:creationId xmlns:a16="http://schemas.microsoft.com/office/drawing/2014/main" id="{813A093D-0DC0-4835-98E5-E72C6835461E}"/>
            </a:ext>
          </a:extLst>
        </xdr:cNvPr>
        <xdr:cNvSpPr>
          <a:spLocks noChangeAspect="1" noChangeArrowheads="1"/>
        </xdr:cNvSpPr>
      </xdr:nvSpPr>
      <xdr:spPr bwMode="auto">
        <a:xfrm>
          <a:off x="1885950" y="14363700"/>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172409</xdr:rowOff>
    </xdr:to>
    <xdr:sp macro="" textlink="">
      <xdr:nvSpPr>
        <xdr:cNvPr id="171" name="AutoShape 190" descr="+">
          <a:extLst>
            <a:ext uri="{FF2B5EF4-FFF2-40B4-BE49-F238E27FC236}">
              <a16:creationId xmlns:a16="http://schemas.microsoft.com/office/drawing/2014/main" id="{9738248E-3558-4FEC-8377-26A1C49DCA5C}"/>
            </a:ext>
          </a:extLst>
        </xdr:cNvPr>
        <xdr:cNvSpPr>
          <a:spLocks noChangeAspect="1" noChangeArrowheads="1"/>
        </xdr:cNvSpPr>
      </xdr:nvSpPr>
      <xdr:spPr bwMode="auto">
        <a:xfrm>
          <a:off x="1885950" y="14363700"/>
          <a:ext cx="304800" cy="1724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3446</xdr:rowOff>
    </xdr:to>
    <xdr:sp macro="" textlink="">
      <xdr:nvSpPr>
        <xdr:cNvPr id="172" name="AutoShape 191" descr="+">
          <a:extLst>
            <a:ext uri="{FF2B5EF4-FFF2-40B4-BE49-F238E27FC236}">
              <a16:creationId xmlns:a16="http://schemas.microsoft.com/office/drawing/2014/main" id="{EC6EB58D-E939-4C6C-BE98-6F36E625A8D3}"/>
            </a:ext>
          </a:extLst>
        </xdr:cNvPr>
        <xdr:cNvSpPr>
          <a:spLocks noChangeAspect="1" noChangeArrowheads="1"/>
        </xdr:cNvSpPr>
      </xdr:nvSpPr>
      <xdr:spPr bwMode="auto">
        <a:xfrm>
          <a:off x="1885950" y="14363700"/>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176492</xdr:rowOff>
    </xdr:to>
    <xdr:sp macro="" textlink="">
      <xdr:nvSpPr>
        <xdr:cNvPr id="173" name="AutoShape 192" descr="+">
          <a:extLst>
            <a:ext uri="{FF2B5EF4-FFF2-40B4-BE49-F238E27FC236}">
              <a16:creationId xmlns:a16="http://schemas.microsoft.com/office/drawing/2014/main" id="{68A6EB15-B184-428B-B826-AD4620740F7D}"/>
            </a:ext>
          </a:extLst>
        </xdr:cNvPr>
        <xdr:cNvSpPr>
          <a:spLocks noChangeAspect="1" noChangeArrowheads="1"/>
        </xdr:cNvSpPr>
      </xdr:nvSpPr>
      <xdr:spPr bwMode="auto">
        <a:xfrm>
          <a:off x="1885950" y="14363700"/>
          <a:ext cx="304800" cy="17649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3447</xdr:rowOff>
    </xdr:to>
    <xdr:sp macro="" textlink="">
      <xdr:nvSpPr>
        <xdr:cNvPr id="174" name="AutoShape 193" descr="+">
          <a:extLst>
            <a:ext uri="{FF2B5EF4-FFF2-40B4-BE49-F238E27FC236}">
              <a16:creationId xmlns:a16="http://schemas.microsoft.com/office/drawing/2014/main" id="{A4A2219C-7041-4256-8231-B3BCA26EE4D5}"/>
            </a:ext>
          </a:extLst>
        </xdr:cNvPr>
        <xdr:cNvSpPr>
          <a:spLocks noChangeAspect="1" noChangeArrowheads="1"/>
        </xdr:cNvSpPr>
      </xdr:nvSpPr>
      <xdr:spPr bwMode="auto">
        <a:xfrm>
          <a:off x="1885950" y="14363700"/>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3447</xdr:rowOff>
    </xdr:to>
    <xdr:sp macro="" textlink="">
      <xdr:nvSpPr>
        <xdr:cNvPr id="175" name="AutoShape 194" descr="+">
          <a:extLst>
            <a:ext uri="{FF2B5EF4-FFF2-40B4-BE49-F238E27FC236}">
              <a16:creationId xmlns:a16="http://schemas.microsoft.com/office/drawing/2014/main" id="{6932F745-EE21-4708-8649-26BA55C3E06B}"/>
            </a:ext>
          </a:extLst>
        </xdr:cNvPr>
        <xdr:cNvSpPr>
          <a:spLocks noChangeAspect="1" noChangeArrowheads="1"/>
        </xdr:cNvSpPr>
      </xdr:nvSpPr>
      <xdr:spPr bwMode="auto">
        <a:xfrm>
          <a:off x="1885950" y="14363700"/>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181936</xdr:rowOff>
    </xdr:to>
    <xdr:sp macro="" textlink="">
      <xdr:nvSpPr>
        <xdr:cNvPr id="176" name="AutoShape 195" descr="+">
          <a:extLst>
            <a:ext uri="{FF2B5EF4-FFF2-40B4-BE49-F238E27FC236}">
              <a16:creationId xmlns:a16="http://schemas.microsoft.com/office/drawing/2014/main" id="{E740295C-D750-4E1B-9E58-3D2F54DBE67F}"/>
            </a:ext>
          </a:extLst>
        </xdr:cNvPr>
        <xdr:cNvSpPr>
          <a:spLocks noChangeAspect="1" noChangeArrowheads="1"/>
        </xdr:cNvSpPr>
      </xdr:nvSpPr>
      <xdr:spPr bwMode="auto">
        <a:xfrm>
          <a:off x="1885950" y="14363700"/>
          <a:ext cx="304800" cy="18193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200704</xdr:rowOff>
    </xdr:to>
    <xdr:sp macro="" textlink="">
      <xdr:nvSpPr>
        <xdr:cNvPr id="177" name="AutoShape 196" descr="+">
          <a:extLst>
            <a:ext uri="{FF2B5EF4-FFF2-40B4-BE49-F238E27FC236}">
              <a16:creationId xmlns:a16="http://schemas.microsoft.com/office/drawing/2014/main" id="{EB44AC1B-F93B-4195-A796-A8AD2432940A}"/>
            </a:ext>
          </a:extLst>
        </xdr:cNvPr>
        <xdr:cNvSpPr>
          <a:spLocks noChangeAspect="1" noChangeArrowheads="1"/>
        </xdr:cNvSpPr>
      </xdr:nvSpPr>
      <xdr:spPr bwMode="auto">
        <a:xfrm>
          <a:off x="1885950" y="14363700"/>
          <a:ext cx="304800" cy="20070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97320</xdr:rowOff>
    </xdr:to>
    <xdr:sp macro="" textlink="">
      <xdr:nvSpPr>
        <xdr:cNvPr id="178" name="AutoShape 197" descr="+">
          <a:extLst>
            <a:ext uri="{FF2B5EF4-FFF2-40B4-BE49-F238E27FC236}">
              <a16:creationId xmlns:a16="http://schemas.microsoft.com/office/drawing/2014/main" id="{78360767-5703-4B2C-AEF6-1B302ECF760E}"/>
            </a:ext>
          </a:extLst>
        </xdr:cNvPr>
        <xdr:cNvSpPr>
          <a:spLocks noChangeAspect="1" noChangeArrowheads="1"/>
        </xdr:cNvSpPr>
      </xdr:nvSpPr>
      <xdr:spPr bwMode="auto">
        <a:xfrm>
          <a:off x="1885950" y="1436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171730</xdr:rowOff>
    </xdr:to>
    <xdr:sp macro="" textlink="">
      <xdr:nvSpPr>
        <xdr:cNvPr id="179" name="AutoShape 198" descr="+">
          <a:extLst>
            <a:ext uri="{FF2B5EF4-FFF2-40B4-BE49-F238E27FC236}">
              <a16:creationId xmlns:a16="http://schemas.microsoft.com/office/drawing/2014/main" id="{E64145B6-9BC0-4CC8-9684-EB72E9B536EE}"/>
            </a:ext>
          </a:extLst>
        </xdr:cNvPr>
        <xdr:cNvSpPr>
          <a:spLocks noChangeAspect="1" noChangeArrowheads="1"/>
        </xdr:cNvSpPr>
      </xdr:nvSpPr>
      <xdr:spPr bwMode="auto">
        <a:xfrm>
          <a:off x="1885950" y="14363700"/>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171732</xdr:rowOff>
    </xdr:to>
    <xdr:sp macro="" textlink="">
      <xdr:nvSpPr>
        <xdr:cNvPr id="180" name="AutoShape 199" descr="+">
          <a:extLst>
            <a:ext uri="{FF2B5EF4-FFF2-40B4-BE49-F238E27FC236}">
              <a16:creationId xmlns:a16="http://schemas.microsoft.com/office/drawing/2014/main" id="{B6288E76-3EB2-4A85-B674-83850AFB2F86}"/>
            </a:ext>
          </a:extLst>
        </xdr:cNvPr>
        <xdr:cNvSpPr>
          <a:spLocks noChangeAspect="1" noChangeArrowheads="1"/>
        </xdr:cNvSpPr>
      </xdr:nvSpPr>
      <xdr:spPr bwMode="auto">
        <a:xfrm>
          <a:off x="1885950" y="14363700"/>
          <a:ext cx="304800" cy="17173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183470</xdr:rowOff>
    </xdr:to>
    <xdr:sp macro="" textlink="">
      <xdr:nvSpPr>
        <xdr:cNvPr id="181" name="AutoShape 200" descr="+">
          <a:extLst>
            <a:ext uri="{FF2B5EF4-FFF2-40B4-BE49-F238E27FC236}">
              <a16:creationId xmlns:a16="http://schemas.microsoft.com/office/drawing/2014/main" id="{E61A6311-4F46-4483-80BE-47ADDDEDB73F}"/>
            </a:ext>
          </a:extLst>
        </xdr:cNvPr>
        <xdr:cNvSpPr>
          <a:spLocks noChangeAspect="1" noChangeArrowheads="1"/>
        </xdr:cNvSpPr>
      </xdr:nvSpPr>
      <xdr:spPr bwMode="auto">
        <a:xfrm>
          <a:off x="1885950" y="14363700"/>
          <a:ext cx="304800" cy="18347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171731</xdr:rowOff>
    </xdr:to>
    <xdr:sp macro="" textlink="">
      <xdr:nvSpPr>
        <xdr:cNvPr id="182" name="AutoShape 201" descr="+">
          <a:extLst>
            <a:ext uri="{FF2B5EF4-FFF2-40B4-BE49-F238E27FC236}">
              <a16:creationId xmlns:a16="http://schemas.microsoft.com/office/drawing/2014/main" id="{1721A3BB-2C31-439D-BF16-9C00FB3806A8}"/>
            </a:ext>
          </a:extLst>
        </xdr:cNvPr>
        <xdr:cNvSpPr>
          <a:spLocks noChangeAspect="1" noChangeArrowheads="1"/>
        </xdr:cNvSpPr>
      </xdr:nvSpPr>
      <xdr:spPr bwMode="auto">
        <a:xfrm>
          <a:off x="1885950" y="14363700"/>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3447</xdr:rowOff>
    </xdr:to>
    <xdr:sp macro="" textlink="">
      <xdr:nvSpPr>
        <xdr:cNvPr id="183" name="AutoShape 202" descr="+">
          <a:extLst>
            <a:ext uri="{FF2B5EF4-FFF2-40B4-BE49-F238E27FC236}">
              <a16:creationId xmlns:a16="http://schemas.microsoft.com/office/drawing/2014/main" id="{8361333B-DB1C-4EE8-928D-3EBF29F2B826}"/>
            </a:ext>
          </a:extLst>
        </xdr:cNvPr>
        <xdr:cNvSpPr>
          <a:spLocks noChangeAspect="1" noChangeArrowheads="1"/>
        </xdr:cNvSpPr>
      </xdr:nvSpPr>
      <xdr:spPr bwMode="auto">
        <a:xfrm>
          <a:off x="1885950" y="14363700"/>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3445</xdr:rowOff>
    </xdr:to>
    <xdr:sp macro="" textlink="">
      <xdr:nvSpPr>
        <xdr:cNvPr id="184" name="AutoShape 203" descr="+">
          <a:extLst>
            <a:ext uri="{FF2B5EF4-FFF2-40B4-BE49-F238E27FC236}">
              <a16:creationId xmlns:a16="http://schemas.microsoft.com/office/drawing/2014/main" id="{462A2995-8D88-4FE6-AA70-A41E55F1C501}"/>
            </a:ext>
          </a:extLst>
        </xdr:cNvPr>
        <xdr:cNvSpPr>
          <a:spLocks noChangeAspect="1" noChangeArrowheads="1"/>
        </xdr:cNvSpPr>
      </xdr:nvSpPr>
      <xdr:spPr bwMode="auto">
        <a:xfrm>
          <a:off x="1885950" y="14363700"/>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3445</xdr:rowOff>
    </xdr:to>
    <xdr:sp macro="" textlink="">
      <xdr:nvSpPr>
        <xdr:cNvPr id="185" name="AutoShape 204" descr="+">
          <a:extLst>
            <a:ext uri="{FF2B5EF4-FFF2-40B4-BE49-F238E27FC236}">
              <a16:creationId xmlns:a16="http://schemas.microsoft.com/office/drawing/2014/main" id="{C08FDE4D-4E69-44BE-AA61-C6723A5455EF}"/>
            </a:ext>
          </a:extLst>
        </xdr:cNvPr>
        <xdr:cNvSpPr>
          <a:spLocks noChangeAspect="1" noChangeArrowheads="1"/>
        </xdr:cNvSpPr>
      </xdr:nvSpPr>
      <xdr:spPr bwMode="auto">
        <a:xfrm>
          <a:off x="1885950" y="14363700"/>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3447</xdr:rowOff>
    </xdr:to>
    <xdr:sp macro="" textlink="">
      <xdr:nvSpPr>
        <xdr:cNvPr id="186" name="AutoShape 205" descr="+">
          <a:extLst>
            <a:ext uri="{FF2B5EF4-FFF2-40B4-BE49-F238E27FC236}">
              <a16:creationId xmlns:a16="http://schemas.microsoft.com/office/drawing/2014/main" id="{12991CA8-0DF0-41AD-967A-A1ACF788EB86}"/>
            </a:ext>
          </a:extLst>
        </xdr:cNvPr>
        <xdr:cNvSpPr>
          <a:spLocks noChangeAspect="1" noChangeArrowheads="1"/>
        </xdr:cNvSpPr>
      </xdr:nvSpPr>
      <xdr:spPr bwMode="auto">
        <a:xfrm>
          <a:off x="1885950" y="14363700"/>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171730</xdr:rowOff>
    </xdr:to>
    <xdr:sp macro="" textlink="">
      <xdr:nvSpPr>
        <xdr:cNvPr id="187" name="AutoShape 206" descr="+">
          <a:extLst>
            <a:ext uri="{FF2B5EF4-FFF2-40B4-BE49-F238E27FC236}">
              <a16:creationId xmlns:a16="http://schemas.microsoft.com/office/drawing/2014/main" id="{D74CB445-D7E8-4695-9AA6-A89C0E151D5E}"/>
            </a:ext>
          </a:extLst>
        </xdr:cNvPr>
        <xdr:cNvSpPr>
          <a:spLocks noChangeAspect="1" noChangeArrowheads="1"/>
        </xdr:cNvSpPr>
      </xdr:nvSpPr>
      <xdr:spPr bwMode="auto">
        <a:xfrm>
          <a:off x="1885950" y="14363700"/>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181937</xdr:rowOff>
    </xdr:to>
    <xdr:sp macro="" textlink="">
      <xdr:nvSpPr>
        <xdr:cNvPr id="188" name="AutoShape 207" descr="+">
          <a:extLst>
            <a:ext uri="{FF2B5EF4-FFF2-40B4-BE49-F238E27FC236}">
              <a16:creationId xmlns:a16="http://schemas.microsoft.com/office/drawing/2014/main" id="{DC6E4A4E-D454-40AA-91F3-3486283FF642}"/>
            </a:ext>
          </a:extLst>
        </xdr:cNvPr>
        <xdr:cNvSpPr>
          <a:spLocks noChangeAspect="1" noChangeArrowheads="1"/>
        </xdr:cNvSpPr>
      </xdr:nvSpPr>
      <xdr:spPr bwMode="auto">
        <a:xfrm>
          <a:off x="1885950" y="14363700"/>
          <a:ext cx="304800" cy="1819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3446</xdr:rowOff>
    </xdr:to>
    <xdr:sp macro="" textlink="">
      <xdr:nvSpPr>
        <xdr:cNvPr id="189" name="AutoShape 208" descr="+">
          <a:extLst>
            <a:ext uri="{FF2B5EF4-FFF2-40B4-BE49-F238E27FC236}">
              <a16:creationId xmlns:a16="http://schemas.microsoft.com/office/drawing/2014/main" id="{0EE1A5CC-7FEA-4741-8029-83568ED2148E}"/>
            </a:ext>
          </a:extLst>
        </xdr:cNvPr>
        <xdr:cNvSpPr>
          <a:spLocks noChangeAspect="1" noChangeArrowheads="1"/>
        </xdr:cNvSpPr>
      </xdr:nvSpPr>
      <xdr:spPr bwMode="auto">
        <a:xfrm>
          <a:off x="1885950" y="14363700"/>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3444</xdr:rowOff>
    </xdr:to>
    <xdr:sp macro="" textlink="">
      <xdr:nvSpPr>
        <xdr:cNvPr id="190" name="AutoShape 209" descr="+">
          <a:extLst>
            <a:ext uri="{FF2B5EF4-FFF2-40B4-BE49-F238E27FC236}">
              <a16:creationId xmlns:a16="http://schemas.microsoft.com/office/drawing/2014/main" id="{04935F20-2899-4D98-B9E0-9C6A7E301AE5}"/>
            </a:ext>
          </a:extLst>
        </xdr:cNvPr>
        <xdr:cNvSpPr>
          <a:spLocks noChangeAspect="1" noChangeArrowheads="1"/>
        </xdr:cNvSpPr>
      </xdr:nvSpPr>
      <xdr:spPr bwMode="auto">
        <a:xfrm>
          <a:off x="1885950" y="14363700"/>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191461</xdr:rowOff>
    </xdr:to>
    <xdr:sp macro="" textlink="">
      <xdr:nvSpPr>
        <xdr:cNvPr id="191" name="AutoShape 210" descr="+">
          <a:extLst>
            <a:ext uri="{FF2B5EF4-FFF2-40B4-BE49-F238E27FC236}">
              <a16:creationId xmlns:a16="http://schemas.microsoft.com/office/drawing/2014/main" id="{0034A44F-E18E-47C9-82BE-47B42A3FA1AD}"/>
            </a:ext>
          </a:extLst>
        </xdr:cNvPr>
        <xdr:cNvSpPr>
          <a:spLocks noChangeAspect="1" noChangeArrowheads="1"/>
        </xdr:cNvSpPr>
      </xdr:nvSpPr>
      <xdr:spPr bwMode="auto">
        <a:xfrm>
          <a:off x="1885950" y="14363700"/>
          <a:ext cx="304800" cy="19146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97320</xdr:rowOff>
    </xdr:to>
    <xdr:sp macro="" textlink="">
      <xdr:nvSpPr>
        <xdr:cNvPr id="192" name="AutoShape 211" descr="+">
          <a:extLst>
            <a:ext uri="{FF2B5EF4-FFF2-40B4-BE49-F238E27FC236}">
              <a16:creationId xmlns:a16="http://schemas.microsoft.com/office/drawing/2014/main" id="{8B6A1B89-2CC3-4E47-8C2D-4C5BDF48CB27}"/>
            </a:ext>
          </a:extLst>
        </xdr:cNvPr>
        <xdr:cNvSpPr>
          <a:spLocks noChangeAspect="1" noChangeArrowheads="1"/>
        </xdr:cNvSpPr>
      </xdr:nvSpPr>
      <xdr:spPr bwMode="auto">
        <a:xfrm>
          <a:off x="1885950" y="1436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69350</xdr:rowOff>
    </xdr:to>
    <xdr:sp macro="" textlink="">
      <xdr:nvSpPr>
        <xdr:cNvPr id="193" name="AutoShape 212" descr="+">
          <a:extLst>
            <a:ext uri="{FF2B5EF4-FFF2-40B4-BE49-F238E27FC236}">
              <a16:creationId xmlns:a16="http://schemas.microsoft.com/office/drawing/2014/main" id="{9226F471-C544-4BC4-AC11-040B3612A372}"/>
            </a:ext>
          </a:extLst>
        </xdr:cNvPr>
        <xdr:cNvSpPr>
          <a:spLocks noChangeAspect="1" noChangeArrowheads="1"/>
        </xdr:cNvSpPr>
      </xdr:nvSpPr>
      <xdr:spPr bwMode="auto">
        <a:xfrm>
          <a:off x="1885950" y="14363700"/>
          <a:ext cx="304800" cy="2768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173131</xdr:rowOff>
    </xdr:to>
    <xdr:sp macro="" textlink="">
      <xdr:nvSpPr>
        <xdr:cNvPr id="194" name="AutoShape 213" descr="+">
          <a:extLst>
            <a:ext uri="{FF2B5EF4-FFF2-40B4-BE49-F238E27FC236}">
              <a16:creationId xmlns:a16="http://schemas.microsoft.com/office/drawing/2014/main" id="{256A482B-D76E-4266-A243-F21D5119D4C8}"/>
            </a:ext>
          </a:extLst>
        </xdr:cNvPr>
        <xdr:cNvSpPr>
          <a:spLocks noChangeAspect="1" noChangeArrowheads="1"/>
        </xdr:cNvSpPr>
      </xdr:nvSpPr>
      <xdr:spPr bwMode="auto">
        <a:xfrm>
          <a:off x="1885950" y="14363700"/>
          <a:ext cx="304800" cy="17313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3445</xdr:rowOff>
    </xdr:to>
    <xdr:sp macro="" textlink="">
      <xdr:nvSpPr>
        <xdr:cNvPr id="195" name="AutoShape 214" descr="+">
          <a:extLst>
            <a:ext uri="{FF2B5EF4-FFF2-40B4-BE49-F238E27FC236}">
              <a16:creationId xmlns:a16="http://schemas.microsoft.com/office/drawing/2014/main" id="{E7F8F2D4-23E5-48A6-86AC-BBB587ACBFC9}"/>
            </a:ext>
          </a:extLst>
        </xdr:cNvPr>
        <xdr:cNvSpPr>
          <a:spLocks noChangeAspect="1" noChangeArrowheads="1"/>
        </xdr:cNvSpPr>
      </xdr:nvSpPr>
      <xdr:spPr bwMode="auto">
        <a:xfrm>
          <a:off x="1885950" y="14363700"/>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3447</xdr:rowOff>
    </xdr:to>
    <xdr:sp macro="" textlink="">
      <xdr:nvSpPr>
        <xdr:cNvPr id="196" name="AutoShape 215" descr="+">
          <a:extLst>
            <a:ext uri="{FF2B5EF4-FFF2-40B4-BE49-F238E27FC236}">
              <a16:creationId xmlns:a16="http://schemas.microsoft.com/office/drawing/2014/main" id="{37251C8A-0175-48BA-B433-0359F0E1D208}"/>
            </a:ext>
          </a:extLst>
        </xdr:cNvPr>
        <xdr:cNvSpPr>
          <a:spLocks noChangeAspect="1" noChangeArrowheads="1"/>
        </xdr:cNvSpPr>
      </xdr:nvSpPr>
      <xdr:spPr bwMode="auto">
        <a:xfrm>
          <a:off x="1885950" y="14363700"/>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203090</xdr:rowOff>
    </xdr:to>
    <xdr:sp macro="" textlink="">
      <xdr:nvSpPr>
        <xdr:cNvPr id="197" name="AutoShape 216" descr="+">
          <a:extLst>
            <a:ext uri="{FF2B5EF4-FFF2-40B4-BE49-F238E27FC236}">
              <a16:creationId xmlns:a16="http://schemas.microsoft.com/office/drawing/2014/main" id="{E72DA612-B923-4026-85D4-CBE78803DE58}"/>
            </a:ext>
          </a:extLst>
        </xdr:cNvPr>
        <xdr:cNvSpPr>
          <a:spLocks noChangeAspect="1" noChangeArrowheads="1"/>
        </xdr:cNvSpPr>
      </xdr:nvSpPr>
      <xdr:spPr bwMode="auto">
        <a:xfrm>
          <a:off x="1885950" y="14363700"/>
          <a:ext cx="304800" cy="2030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171730</xdr:rowOff>
    </xdr:to>
    <xdr:sp macro="" textlink="">
      <xdr:nvSpPr>
        <xdr:cNvPr id="198" name="AutoShape 217" descr="+">
          <a:extLst>
            <a:ext uri="{FF2B5EF4-FFF2-40B4-BE49-F238E27FC236}">
              <a16:creationId xmlns:a16="http://schemas.microsoft.com/office/drawing/2014/main" id="{0CDDBC2B-AE12-4B8A-BAD6-82564340AF82}"/>
            </a:ext>
          </a:extLst>
        </xdr:cNvPr>
        <xdr:cNvSpPr>
          <a:spLocks noChangeAspect="1" noChangeArrowheads="1"/>
        </xdr:cNvSpPr>
      </xdr:nvSpPr>
      <xdr:spPr bwMode="auto">
        <a:xfrm>
          <a:off x="1885950" y="14363700"/>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171731</xdr:rowOff>
    </xdr:to>
    <xdr:sp macro="" textlink="">
      <xdr:nvSpPr>
        <xdr:cNvPr id="199" name="AutoShape 218" descr="+">
          <a:extLst>
            <a:ext uri="{FF2B5EF4-FFF2-40B4-BE49-F238E27FC236}">
              <a16:creationId xmlns:a16="http://schemas.microsoft.com/office/drawing/2014/main" id="{22E8AE0A-158F-4CE3-AE69-18DA11DC1228}"/>
            </a:ext>
          </a:extLst>
        </xdr:cNvPr>
        <xdr:cNvSpPr>
          <a:spLocks noChangeAspect="1" noChangeArrowheads="1"/>
        </xdr:cNvSpPr>
      </xdr:nvSpPr>
      <xdr:spPr bwMode="auto">
        <a:xfrm>
          <a:off x="1885950" y="14363700"/>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186697</xdr:rowOff>
    </xdr:to>
    <xdr:sp macro="" textlink="">
      <xdr:nvSpPr>
        <xdr:cNvPr id="200" name="AutoShape 219" descr="+">
          <a:extLst>
            <a:ext uri="{FF2B5EF4-FFF2-40B4-BE49-F238E27FC236}">
              <a16:creationId xmlns:a16="http://schemas.microsoft.com/office/drawing/2014/main" id="{7245C70F-A7AB-4C32-AA78-2B5B2D12CF75}"/>
            </a:ext>
          </a:extLst>
        </xdr:cNvPr>
        <xdr:cNvSpPr>
          <a:spLocks noChangeAspect="1" noChangeArrowheads="1"/>
        </xdr:cNvSpPr>
      </xdr:nvSpPr>
      <xdr:spPr bwMode="auto">
        <a:xfrm>
          <a:off x="1885950" y="14363700"/>
          <a:ext cx="304800" cy="18669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171731</xdr:rowOff>
    </xdr:to>
    <xdr:sp macro="" textlink="">
      <xdr:nvSpPr>
        <xdr:cNvPr id="201" name="AutoShape 220" descr="+">
          <a:extLst>
            <a:ext uri="{FF2B5EF4-FFF2-40B4-BE49-F238E27FC236}">
              <a16:creationId xmlns:a16="http://schemas.microsoft.com/office/drawing/2014/main" id="{E8AE9F2E-F51B-4555-A653-3273AA51707B}"/>
            </a:ext>
          </a:extLst>
        </xdr:cNvPr>
        <xdr:cNvSpPr>
          <a:spLocks noChangeAspect="1" noChangeArrowheads="1"/>
        </xdr:cNvSpPr>
      </xdr:nvSpPr>
      <xdr:spPr bwMode="auto">
        <a:xfrm>
          <a:off x="1885950" y="14363700"/>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3447</xdr:rowOff>
    </xdr:to>
    <xdr:sp macro="" textlink="">
      <xdr:nvSpPr>
        <xdr:cNvPr id="202" name="AutoShape 221" descr="+">
          <a:extLst>
            <a:ext uri="{FF2B5EF4-FFF2-40B4-BE49-F238E27FC236}">
              <a16:creationId xmlns:a16="http://schemas.microsoft.com/office/drawing/2014/main" id="{3CD2A741-F28D-4977-A2EE-94553B6BE037}"/>
            </a:ext>
          </a:extLst>
        </xdr:cNvPr>
        <xdr:cNvSpPr>
          <a:spLocks noChangeAspect="1" noChangeArrowheads="1"/>
        </xdr:cNvSpPr>
      </xdr:nvSpPr>
      <xdr:spPr bwMode="auto">
        <a:xfrm>
          <a:off x="1885950" y="14363700"/>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3447</xdr:rowOff>
    </xdr:to>
    <xdr:sp macro="" textlink="">
      <xdr:nvSpPr>
        <xdr:cNvPr id="203" name="AutoShape 222" descr="+">
          <a:extLst>
            <a:ext uri="{FF2B5EF4-FFF2-40B4-BE49-F238E27FC236}">
              <a16:creationId xmlns:a16="http://schemas.microsoft.com/office/drawing/2014/main" id="{3BAE4FE9-D153-49EE-B7A8-21C9B533390E}"/>
            </a:ext>
          </a:extLst>
        </xdr:cNvPr>
        <xdr:cNvSpPr>
          <a:spLocks noChangeAspect="1" noChangeArrowheads="1"/>
        </xdr:cNvSpPr>
      </xdr:nvSpPr>
      <xdr:spPr bwMode="auto">
        <a:xfrm>
          <a:off x="1885950" y="14363700"/>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3445</xdr:rowOff>
    </xdr:to>
    <xdr:sp macro="" textlink="">
      <xdr:nvSpPr>
        <xdr:cNvPr id="204" name="AutoShape 223" descr="+">
          <a:extLst>
            <a:ext uri="{FF2B5EF4-FFF2-40B4-BE49-F238E27FC236}">
              <a16:creationId xmlns:a16="http://schemas.microsoft.com/office/drawing/2014/main" id="{C2CBC8BD-97F7-4B23-82EC-79A9070C2153}"/>
            </a:ext>
          </a:extLst>
        </xdr:cNvPr>
        <xdr:cNvSpPr>
          <a:spLocks noChangeAspect="1" noChangeArrowheads="1"/>
        </xdr:cNvSpPr>
      </xdr:nvSpPr>
      <xdr:spPr bwMode="auto">
        <a:xfrm>
          <a:off x="1885950" y="14363700"/>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3445</xdr:rowOff>
    </xdr:to>
    <xdr:sp macro="" textlink="">
      <xdr:nvSpPr>
        <xdr:cNvPr id="205" name="AutoShape 224" descr="+">
          <a:extLst>
            <a:ext uri="{FF2B5EF4-FFF2-40B4-BE49-F238E27FC236}">
              <a16:creationId xmlns:a16="http://schemas.microsoft.com/office/drawing/2014/main" id="{159C5C55-DCC6-4660-A36E-9EB2708F0B9B}"/>
            </a:ext>
          </a:extLst>
        </xdr:cNvPr>
        <xdr:cNvSpPr>
          <a:spLocks noChangeAspect="1" noChangeArrowheads="1"/>
        </xdr:cNvSpPr>
      </xdr:nvSpPr>
      <xdr:spPr bwMode="auto">
        <a:xfrm>
          <a:off x="1885950" y="14363700"/>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191460</xdr:rowOff>
    </xdr:to>
    <xdr:sp macro="" textlink="">
      <xdr:nvSpPr>
        <xdr:cNvPr id="206" name="AutoShape 225" descr="+">
          <a:extLst>
            <a:ext uri="{FF2B5EF4-FFF2-40B4-BE49-F238E27FC236}">
              <a16:creationId xmlns:a16="http://schemas.microsoft.com/office/drawing/2014/main" id="{DA54053D-3E4E-479A-8CCD-259CC3F8FFB4}"/>
            </a:ext>
          </a:extLst>
        </xdr:cNvPr>
        <xdr:cNvSpPr>
          <a:spLocks noChangeAspect="1" noChangeArrowheads="1"/>
        </xdr:cNvSpPr>
      </xdr:nvSpPr>
      <xdr:spPr bwMode="auto">
        <a:xfrm>
          <a:off x="1885950" y="14363700"/>
          <a:ext cx="304800" cy="1914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97322</xdr:rowOff>
    </xdr:to>
    <xdr:sp macro="" textlink="">
      <xdr:nvSpPr>
        <xdr:cNvPr id="207" name="AutoShape 226" descr="+">
          <a:extLst>
            <a:ext uri="{FF2B5EF4-FFF2-40B4-BE49-F238E27FC236}">
              <a16:creationId xmlns:a16="http://schemas.microsoft.com/office/drawing/2014/main" id="{B1F48DF8-0AA3-49DE-AA78-2629794D2C58}"/>
            </a:ext>
          </a:extLst>
        </xdr:cNvPr>
        <xdr:cNvSpPr>
          <a:spLocks noChangeAspect="1" noChangeArrowheads="1"/>
        </xdr:cNvSpPr>
      </xdr:nvSpPr>
      <xdr:spPr bwMode="auto">
        <a:xfrm>
          <a:off x="1885950" y="14363700"/>
          <a:ext cx="304800" cy="30480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3445</xdr:rowOff>
    </xdr:to>
    <xdr:sp macro="" textlink="">
      <xdr:nvSpPr>
        <xdr:cNvPr id="208" name="AutoShape 227" descr="+">
          <a:extLst>
            <a:ext uri="{FF2B5EF4-FFF2-40B4-BE49-F238E27FC236}">
              <a16:creationId xmlns:a16="http://schemas.microsoft.com/office/drawing/2014/main" id="{6D41F9E8-0081-405D-A02D-6A18ED294F1A}"/>
            </a:ext>
          </a:extLst>
        </xdr:cNvPr>
        <xdr:cNvSpPr>
          <a:spLocks noChangeAspect="1" noChangeArrowheads="1"/>
        </xdr:cNvSpPr>
      </xdr:nvSpPr>
      <xdr:spPr bwMode="auto">
        <a:xfrm>
          <a:off x="1885950" y="14363700"/>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3446</xdr:rowOff>
    </xdr:to>
    <xdr:sp macro="" textlink="">
      <xdr:nvSpPr>
        <xdr:cNvPr id="209" name="AutoShape 228" descr="+">
          <a:extLst>
            <a:ext uri="{FF2B5EF4-FFF2-40B4-BE49-F238E27FC236}">
              <a16:creationId xmlns:a16="http://schemas.microsoft.com/office/drawing/2014/main" id="{AD297C97-6C39-45B8-BEF8-E712EAEAD615}"/>
            </a:ext>
          </a:extLst>
        </xdr:cNvPr>
        <xdr:cNvSpPr>
          <a:spLocks noChangeAspect="1" noChangeArrowheads="1"/>
        </xdr:cNvSpPr>
      </xdr:nvSpPr>
      <xdr:spPr bwMode="auto">
        <a:xfrm>
          <a:off x="1885950" y="14363700"/>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98999</xdr:rowOff>
    </xdr:to>
    <xdr:sp macro="" textlink="">
      <xdr:nvSpPr>
        <xdr:cNvPr id="210" name="AutoShape 229" descr="+">
          <a:extLst>
            <a:ext uri="{FF2B5EF4-FFF2-40B4-BE49-F238E27FC236}">
              <a16:creationId xmlns:a16="http://schemas.microsoft.com/office/drawing/2014/main" id="{2A88F461-DCAD-4A3B-8613-6BFBC2692823}"/>
            </a:ext>
          </a:extLst>
        </xdr:cNvPr>
        <xdr:cNvSpPr>
          <a:spLocks noChangeAspect="1" noChangeArrowheads="1"/>
        </xdr:cNvSpPr>
      </xdr:nvSpPr>
      <xdr:spPr bwMode="auto">
        <a:xfrm>
          <a:off x="1885950" y="14363700"/>
          <a:ext cx="304800" cy="30647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97321</xdr:rowOff>
    </xdr:to>
    <xdr:sp macro="" textlink="">
      <xdr:nvSpPr>
        <xdr:cNvPr id="211" name="AutoShape 230" descr="+">
          <a:extLst>
            <a:ext uri="{FF2B5EF4-FFF2-40B4-BE49-F238E27FC236}">
              <a16:creationId xmlns:a16="http://schemas.microsoft.com/office/drawing/2014/main" id="{F551F09A-7F08-443A-92BA-E71D64542443}"/>
            </a:ext>
          </a:extLst>
        </xdr:cNvPr>
        <xdr:cNvSpPr>
          <a:spLocks noChangeAspect="1" noChangeArrowheads="1"/>
        </xdr:cNvSpPr>
      </xdr:nvSpPr>
      <xdr:spPr bwMode="auto">
        <a:xfrm>
          <a:off x="1885950" y="143637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171730</xdr:rowOff>
    </xdr:to>
    <xdr:sp macro="" textlink="">
      <xdr:nvSpPr>
        <xdr:cNvPr id="212" name="AutoShape 231" descr="+">
          <a:extLst>
            <a:ext uri="{FF2B5EF4-FFF2-40B4-BE49-F238E27FC236}">
              <a16:creationId xmlns:a16="http://schemas.microsoft.com/office/drawing/2014/main" id="{A75DCEF2-FE72-4B8E-A50B-C5CB3D0237FC}"/>
            </a:ext>
          </a:extLst>
        </xdr:cNvPr>
        <xdr:cNvSpPr>
          <a:spLocks noChangeAspect="1" noChangeArrowheads="1"/>
        </xdr:cNvSpPr>
      </xdr:nvSpPr>
      <xdr:spPr bwMode="auto">
        <a:xfrm>
          <a:off x="1885950" y="14363700"/>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181938</xdr:rowOff>
    </xdr:to>
    <xdr:sp macro="" textlink="">
      <xdr:nvSpPr>
        <xdr:cNvPr id="213" name="AutoShape 232" descr="+">
          <a:extLst>
            <a:ext uri="{FF2B5EF4-FFF2-40B4-BE49-F238E27FC236}">
              <a16:creationId xmlns:a16="http://schemas.microsoft.com/office/drawing/2014/main" id="{632BF04F-1A9D-4DD0-991B-F04B0DAB2D0B}"/>
            </a:ext>
          </a:extLst>
        </xdr:cNvPr>
        <xdr:cNvSpPr>
          <a:spLocks noChangeAspect="1" noChangeArrowheads="1"/>
        </xdr:cNvSpPr>
      </xdr:nvSpPr>
      <xdr:spPr bwMode="auto">
        <a:xfrm>
          <a:off x="1885950" y="14363700"/>
          <a:ext cx="304800" cy="18193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171730</xdr:rowOff>
    </xdr:to>
    <xdr:sp macro="" textlink="">
      <xdr:nvSpPr>
        <xdr:cNvPr id="214" name="AutoShape 233" descr="+">
          <a:extLst>
            <a:ext uri="{FF2B5EF4-FFF2-40B4-BE49-F238E27FC236}">
              <a16:creationId xmlns:a16="http://schemas.microsoft.com/office/drawing/2014/main" id="{00B0E620-B208-4F9B-890B-A632E1CA1A38}"/>
            </a:ext>
          </a:extLst>
        </xdr:cNvPr>
        <xdr:cNvSpPr>
          <a:spLocks noChangeAspect="1" noChangeArrowheads="1"/>
        </xdr:cNvSpPr>
      </xdr:nvSpPr>
      <xdr:spPr bwMode="auto">
        <a:xfrm>
          <a:off x="1885950" y="14363700"/>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3447</xdr:rowOff>
    </xdr:to>
    <xdr:sp macro="" textlink="">
      <xdr:nvSpPr>
        <xdr:cNvPr id="215" name="AutoShape 234" descr="+">
          <a:extLst>
            <a:ext uri="{FF2B5EF4-FFF2-40B4-BE49-F238E27FC236}">
              <a16:creationId xmlns:a16="http://schemas.microsoft.com/office/drawing/2014/main" id="{A6835511-E795-4BC2-A87A-C42001C0BC9F}"/>
            </a:ext>
          </a:extLst>
        </xdr:cNvPr>
        <xdr:cNvSpPr>
          <a:spLocks noChangeAspect="1" noChangeArrowheads="1"/>
        </xdr:cNvSpPr>
      </xdr:nvSpPr>
      <xdr:spPr bwMode="auto">
        <a:xfrm>
          <a:off x="1885950" y="14363700"/>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3444</xdr:rowOff>
    </xdr:to>
    <xdr:sp macro="" textlink="">
      <xdr:nvSpPr>
        <xdr:cNvPr id="216" name="AutoShape 235" descr="+">
          <a:extLst>
            <a:ext uri="{FF2B5EF4-FFF2-40B4-BE49-F238E27FC236}">
              <a16:creationId xmlns:a16="http://schemas.microsoft.com/office/drawing/2014/main" id="{08E69A34-0495-4FB9-B01B-38B34F264C64}"/>
            </a:ext>
          </a:extLst>
        </xdr:cNvPr>
        <xdr:cNvSpPr>
          <a:spLocks noChangeAspect="1" noChangeArrowheads="1"/>
        </xdr:cNvSpPr>
      </xdr:nvSpPr>
      <xdr:spPr bwMode="auto">
        <a:xfrm>
          <a:off x="1885950" y="14363700"/>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3446</xdr:rowOff>
    </xdr:to>
    <xdr:sp macro="" textlink="">
      <xdr:nvSpPr>
        <xdr:cNvPr id="217" name="AutoShape 236" descr="+">
          <a:extLst>
            <a:ext uri="{FF2B5EF4-FFF2-40B4-BE49-F238E27FC236}">
              <a16:creationId xmlns:a16="http://schemas.microsoft.com/office/drawing/2014/main" id="{6F71503D-AED3-4F3D-9D14-10DF0C7FA21E}"/>
            </a:ext>
          </a:extLst>
        </xdr:cNvPr>
        <xdr:cNvSpPr>
          <a:spLocks noChangeAspect="1" noChangeArrowheads="1"/>
        </xdr:cNvSpPr>
      </xdr:nvSpPr>
      <xdr:spPr bwMode="auto">
        <a:xfrm>
          <a:off x="1885950" y="14363700"/>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171730</xdr:rowOff>
    </xdr:to>
    <xdr:sp macro="" textlink="">
      <xdr:nvSpPr>
        <xdr:cNvPr id="218" name="AutoShape 237" descr="+">
          <a:extLst>
            <a:ext uri="{FF2B5EF4-FFF2-40B4-BE49-F238E27FC236}">
              <a16:creationId xmlns:a16="http://schemas.microsoft.com/office/drawing/2014/main" id="{BB2264AA-3B3C-4D7F-90DE-273DA87350D5}"/>
            </a:ext>
          </a:extLst>
        </xdr:cNvPr>
        <xdr:cNvSpPr>
          <a:spLocks noChangeAspect="1" noChangeArrowheads="1"/>
        </xdr:cNvSpPr>
      </xdr:nvSpPr>
      <xdr:spPr bwMode="auto">
        <a:xfrm>
          <a:off x="1885950" y="14363700"/>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3449</xdr:rowOff>
    </xdr:to>
    <xdr:sp macro="" textlink="">
      <xdr:nvSpPr>
        <xdr:cNvPr id="219" name="AutoShape 238" descr="+">
          <a:extLst>
            <a:ext uri="{FF2B5EF4-FFF2-40B4-BE49-F238E27FC236}">
              <a16:creationId xmlns:a16="http://schemas.microsoft.com/office/drawing/2014/main" id="{9ED7866D-CB3E-4DE5-8E48-145C78DE01AC}"/>
            </a:ext>
          </a:extLst>
        </xdr:cNvPr>
        <xdr:cNvSpPr>
          <a:spLocks noChangeAspect="1" noChangeArrowheads="1"/>
        </xdr:cNvSpPr>
      </xdr:nvSpPr>
      <xdr:spPr bwMode="auto">
        <a:xfrm>
          <a:off x="1885950" y="14363700"/>
          <a:ext cx="304800" cy="21051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3444</xdr:rowOff>
    </xdr:to>
    <xdr:sp macro="" textlink="">
      <xdr:nvSpPr>
        <xdr:cNvPr id="220" name="AutoShape 239" descr="+">
          <a:extLst>
            <a:ext uri="{FF2B5EF4-FFF2-40B4-BE49-F238E27FC236}">
              <a16:creationId xmlns:a16="http://schemas.microsoft.com/office/drawing/2014/main" id="{AB15C001-8FB7-4B79-BDA2-4A0B317E3788}"/>
            </a:ext>
          </a:extLst>
        </xdr:cNvPr>
        <xdr:cNvSpPr>
          <a:spLocks noChangeAspect="1" noChangeArrowheads="1"/>
        </xdr:cNvSpPr>
      </xdr:nvSpPr>
      <xdr:spPr bwMode="auto">
        <a:xfrm>
          <a:off x="1885950" y="14363700"/>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3446</xdr:rowOff>
    </xdr:to>
    <xdr:sp macro="" textlink="">
      <xdr:nvSpPr>
        <xdr:cNvPr id="221" name="AutoShape 240" descr="+">
          <a:extLst>
            <a:ext uri="{FF2B5EF4-FFF2-40B4-BE49-F238E27FC236}">
              <a16:creationId xmlns:a16="http://schemas.microsoft.com/office/drawing/2014/main" id="{AA66FDB9-C1EA-480F-B9B7-37D33323C7FD}"/>
            </a:ext>
          </a:extLst>
        </xdr:cNvPr>
        <xdr:cNvSpPr>
          <a:spLocks noChangeAspect="1" noChangeArrowheads="1"/>
        </xdr:cNvSpPr>
      </xdr:nvSpPr>
      <xdr:spPr bwMode="auto">
        <a:xfrm>
          <a:off x="1885950" y="14363700"/>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3445</xdr:rowOff>
    </xdr:to>
    <xdr:sp macro="" textlink="">
      <xdr:nvSpPr>
        <xdr:cNvPr id="222" name="AutoShape 241" descr="+">
          <a:extLst>
            <a:ext uri="{FF2B5EF4-FFF2-40B4-BE49-F238E27FC236}">
              <a16:creationId xmlns:a16="http://schemas.microsoft.com/office/drawing/2014/main" id="{D09E52AD-3FE7-4EB4-BBCB-EFAB409FD5B6}"/>
            </a:ext>
          </a:extLst>
        </xdr:cNvPr>
        <xdr:cNvSpPr>
          <a:spLocks noChangeAspect="1" noChangeArrowheads="1"/>
        </xdr:cNvSpPr>
      </xdr:nvSpPr>
      <xdr:spPr bwMode="auto">
        <a:xfrm>
          <a:off x="1885950" y="14363700"/>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186698</xdr:rowOff>
    </xdr:to>
    <xdr:sp macro="" textlink="">
      <xdr:nvSpPr>
        <xdr:cNvPr id="223" name="AutoShape 242" descr="+">
          <a:extLst>
            <a:ext uri="{FF2B5EF4-FFF2-40B4-BE49-F238E27FC236}">
              <a16:creationId xmlns:a16="http://schemas.microsoft.com/office/drawing/2014/main" id="{D3FEB718-6091-47C4-B6A9-63395C0BCC29}"/>
            </a:ext>
          </a:extLst>
        </xdr:cNvPr>
        <xdr:cNvSpPr>
          <a:spLocks noChangeAspect="1" noChangeArrowheads="1"/>
        </xdr:cNvSpPr>
      </xdr:nvSpPr>
      <xdr:spPr bwMode="auto">
        <a:xfrm>
          <a:off x="1885950" y="14363700"/>
          <a:ext cx="304800" cy="18669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3447</xdr:rowOff>
    </xdr:to>
    <xdr:sp macro="" textlink="">
      <xdr:nvSpPr>
        <xdr:cNvPr id="224" name="AutoShape 243" descr="+">
          <a:extLst>
            <a:ext uri="{FF2B5EF4-FFF2-40B4-BE49-F238E27FC236}">
              <a16:creationId xmlns:a16="http://schemas.microsoft.com/office/drawing/2014/main" id="{870A82AA-E55B-45C4-9B83-51825EA6EF8A}"/>
            </a:ext>
          </a:extLst>
        </xdr:cNvPr>
        <xdr:cNvSpPr>
          <a:spLocks noChangeAspect="1" noChangeArrowheads="1"/>
        </xdr:cNvSpPr>
      </xdr:nvSpPr>
      <xdr:spPr bwMode="auto">
        <a:xfrm>
          <a:off x="1885950" y="14363700"/>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3446</xdr:rowOff>
    </xdr:to>
    <xdr:sp macro="" textlink="">
      <xdr:nvSpPr>
        <xdr:cNvPr id="225" name="AutoShape 244" descr="+">
          <a:extLst>
            <a:ext uri="{FF2B5EF4-FFF2-40B4-BE49-F238E27FC236}">
              <a16:creationId xmlns:a16="http://schemas.microsoft.com/office/drawing/2014/main" id="{7A631866-BDB3-469B-8CBA-67AE68089A1B}"/>
            </a:ext>
          </a:extLst>
        </xdr:cNvPr>
        <xdr:cNvSpPr>
          <a:spLocks noChangeAspect="1" noChangeArrowheads="1"/>
        </xdr:cNvSpPr>
      </xdr:nvSpPr>
      <xdr:spPr bwMode="auto">
        <a:xfrm>
          <a:off x="1885950" y="14363700"/>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3445</xdr:rowOff>
    </xdr:to>
    <xdr:sp macro="" textlink="">
      <xdr:nvSpPr>
        <xdr:cNvPr id="226" name="AutoShape 245" descr="+">
          <a:extLst>
            <a:ext uri="{FF2B5EF4-FFF2-40B4-BE49-F238E27FC236}">
              <a16:creationId xmlns:a16="http://schemas.microsoft.com/office/drawing/2014/main" id="{92CDC3A3-B483-481C-A42D-65F864BD8708}"/>
            </a:ext>
          </a:extLst>
        </xdr:cNvPr>
        <xdr:cNvSpPr>
          <a:spLocks noChangeAspect="1" noChangeArrowheads="1"/>
        </xdr:cNvSpPr>
      </xdr:nvSpPr>
      <xdr:spPr bwMode="auto">
        <a:xfrm>
          <a:off x="1885950" y="14363700"/>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176492</xdr:rowOff>
    </xdr:to>
    <xdr:sp macro="" textlink="">
      <xdr:nvSpPr>
        <xdr:cNvPr id="227" name="AutoShape 246" descr="+">
          <a:extLst>
            <a:ext uri="{FF2B5EF4-FFF2-40B4-BE49-F238E27FC236}">
              <a16:creationId xmlns:a16="http://schemas.microsoft.com/office/drawing/2014/main" id="{06668F1E-9AE1-49B2-85FD-32F495E9AF0F}"/>
            </a:ext>
          </a:extLst>
        </xdr:cNvPr>
        <xdr:cNvSpPr>
          <a:spLocks noChangeAspect="1" noChangeArrowheads="1"/>
        </xdr:cNvSpPr>
      </xdr:nvSpPr>
      <xdr:spPr bwMode="auto">
        <a:xfrm>
          <a:off x="1885950" y="14363700"/>
          <a:ext cx="304800" cy="17649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171731</xdr:rowOff>
    </xdr:to>
    <xdr:sp macro="" textlink="">
      <xdr:nvSpPr>
        <xdr:cNvPr id="228" name="AutoShape 247" descr="+">
          <a:extLst>
            <a:ext uri="{FF2B5EF4-FFF2-40B4-BE49-F238E27FC236}">
              <a16:creationId xmlns:a16="http://schemas.microsoft.com/office/drawing/2014/main" id="{73DE6DA9-B0CA-4988-A71D-966600B27874}"/>
            </a:ext>
          </a:extLst>
        </xdr:cNvPr>
        <xdr:cNvSpPr>
          <a:spLocks noChangeAspect="1" noChangeArrowheads="1"/>
        </xdr:cNvSpPr>
      </xdr:nvSpPr>
      <xdr:spPr bwMode="auto">
        <a:xfrm>
          <a:off x="1885950" y="14363700"/>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181938</xdr:rowOff>
    </xdr:to>
    <xdr:sp macro="" textlink="">
      <xdr:nvSpPr>
        <xdr:cNvPr id="229" name="AutoShape 248" descr="+">
          <a:extLst>
            <a:ext uri="{FF2B5EF4-FFF2-40B4-BE49-F238E27FC236}">
              <a16:creationId xmlns:a16="http://schemas.microsoft.com/office/drawing/2014/main" id="{1F1D282E-FE83-49ED-88C3-A1DCD0B585D9}"/>
            </a:ext>
          </a:extLst>
        </xdr:cNvPr>
        <xdr:cNvSpPr>
          <a:spLocks noChangeAspect="1" noChangeArrowheads="1"/>
        </xdr:cNvSpPr>
      </xdr:nvSpPr>
      <xdr:spPr bwMode="auto">
        <a:xfrm>
          <a:off x="1885950" y="14363700"/>
          <a:ext cx="304800" cy="18193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171731</xdr:rowOff>
    </xdr:to>
    <xdr:sp macro="" textlink="">
      <xdr:nvSpPr>
        <xdr:cNvPr id="230" name="AutoShape 249" descr="+">
          <a:extLst>
            <a:ext uri="{FF2B5EF4-FFF2-40B4-BE49-F238E27FC236}">
              <a16:creationId xmlns:a16="http://schemas.microsoft.com/office/drawing/2014/main" id="{F8EE6C5A-6985-4E53-9139-06B9D47FB41C}"/>
            </a:ext>
          </a:extLst>
        </xdr:cNvPr>
        <xdr:cNvSpPr>
          <a:spLocks noChangeAspect="1" noChangeArrowheads="1"/>
        </xdr:cNvSpPr>
      </xdr:nvSpPr>
      <xdr:spPr bwMode="auto">
        <a:xfrm>
          <a:off x="1885950" y="14363700"/>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3445</xdr:rowOff>
    </xdr:to>
    <xdr:sp macro="" textlink="">
      <xdr:nvSpPr>
        <xdr:cNvPr id="231" name="AutoShape 250" descr="+">
          <a:extLst>
            <a:ext uri="{FF2B5EF4-FFF2-40B4-BE49-F238E27FC236}">
              <a16:creationId xmlns:a16="http://schemas.microsoft.com/office/drawing/2014/main" id="{DAB81C02-839A-4750-A038-9EFC7207EBD4}"/>
            </a:ext>
          </a:extLst>
        </xdr:cNvPr>
        <xdr:cNvSpPr>
          <a:spLocks noChangeAspect="1" noChangeArrowheads="1"/>
        </xdr:cNvSpPr>
      </xdr:nvSpPr>
      <xdr:spPr bwMode="auto">
        <a:xfrm>
          <a:off x="1885950" y="14363700"/>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3446</xdr:rowOff>
    </xdr:to>
    <xdr:sp macro="" textlink="">
      <xdr:nvSpPr>
        <xdr:cNvPr id="232" name="AutoShape 251" descr="+">
          <a:extLst>
            <a:ext uri="{FF2B5EF4-FFF2-40B4-BE49-F238E27FC236}">
              <a16:creationId xmlns:a16="http://schemas.microsoft.com/office/drawing/2014/main" id="{6E242B8A-CF6E-4960-B468-CA6C0B95FD8A}"/>
            </a:ext>
          </a:extLst>
        </xdr:cNvPr>
        <xdr:cNvSpPr>
          <a:spLocks noChangeAspect="1" noChangeArrowheads="1"/>
        </xdr:cNvSpPr>
      </xdr:nvSpPr>
      <xdr:spPr bwMode="auto">
        <a:xfrm>
          <a:off x="1885950" y="14363700"/>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3444</xdr:rowOff>
    </xdr:to>
    <xdr:sp macro="" textlink="">
      <xdr:nvSpPr>
        <xdr:cNvPr id="233" name="AutoShape 252" descr="+">
          <a:extLst>
            <a:ext uri="{FF2B5EF4-FFF2-40B4-BE49-F238E27FC236}">
              <a16:creationId xmlns:a16="http://schemas.microsoft.com/office/drawing/2014/main" id="{3EFD7C6A-C0D8-445C-AED8-0D4B8765054D}"/>
            </a:ext>
          </a:extLst>
        </xdr:cNvPr>
        <xdr:cNvSpPr>
          <a:spLocks noChangeAspect="1" noChangeArrowheads="1"/>
        </xdr:cNvSpPr>
      </xdr:nvSpPr>
      <xdr:spPr bwMode="auto">
        <a:xfrm>
          <a:off x="1885950" y="14363700"/>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181937</xdr:rowOff>
    </xdr:to>
    <xdr:sp macro="" textlink="">
      <xdr:nvSpPr>
        <xdr:cNvPr id="234" name="AutoShape 253" descr="+">
          <a:extLst>
            <a:ext uri="{FF2B5EF4-FFF2-40B4-BE49-F238E27FC236}">
              <a16:creationId xmlns:a16="http://schemas.microsoft.com/office/drawing/2014/main" id="{88FB932F-4AA7-47A3-B597-8669F61179E0}"/>
            </a:ext>
          </a:extLst>
        </xdr:cNvPr>
        <xdr:cNvSpPr>
          <a:spLocks noChangeAspect="1" noChangeArrowheads="1"/>
        </xdr:cNvSpPr>
      </xdr:nvSpPr>
      <xdr:spPr bwMode="auto">
        <a:xfrm>
          <a:off x="1885950" y="14363700"/>
          <a:ext cx="304800" cy="1819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3446</xdr:rowOff>
    </xdr:to>
    <xdr:sp macro="" textlink="">
      <xdr:nvSpPr>
        <xdr:cNvPr id="235" name="AutoShape 254" descr="+">
          <a:extLst>
            <a:ext uri="{FF2B5EF4-FFF2-40B4-BE49-F238E27FC236}">
              <a16:creationId xmlns:a16="http://schemas.microsoft.com/office/drawing/2014/main" id="{656E236F-ACD5-423E-B11A-6065DABD1137}"/>
            </a:ext>
          </a:extLst>
        </xdr:cNvPr>
        <xdr:cNvSpPr>
          <a:spLocks noChangeAspect="1" noChangeArrowheads="1"/>
        </xdr:cNvSpPr>
      </xdr:nvSpPr>
      <xdr:spPr bwMode="auto">
        <a:xfrm>
          <a:off x="1885950" y="14363700"/>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3446</xdr:rowOff>
    </xdr:to>
    <xdr:sp macro="" textlink="">
      <xdr:nvSpPr>
        <xdr:cNvPr id="236" name="AutoShape 255" descr="+">
          <a:extLst>
            <a:ext uri="{FF2B5EF4-FFF2-40B4-BE49-F238E27FC236}">
              <a16:creationId xmlns:a16="http://schemas.microsoft.com/office/drawing/2014/main" id="{ACA6F5A4-261D-4157-90C4-DFABCBE880DC}"/>
            </a:ext>
          </a:extLst>
        </xdr:cNvPr>
        <xdr:cNvSpPr>
          <a:spLocks noChangeAspect="1" noChangeArrowheads="1"/>
        </xdr:cNvSpPr>
      </xdr:nvSpPr>
      <xdr:spPr bwMode="auto">
        <a:xfrm>
          <a:off x="1885950" y="14363700"/>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3445</xdr:rowOff>
    </xdr:to>
    <xdr:sp macro="" textlink="">
      <xdr:nvSpPr>
        <xdr:cNvPr id="237" name="AutoShape 256" descr="+">
          <a:extLst>
            <a:ext uri="{FF2B5EF4-FFF2-40B4-BE49-F238E27FC236}">
              <a16:creationId xmlns:a16="http://schemas.microsoft.com/office/drawing/2014/main" id="{E168EBCE-693C-4078-BBFF-66460EAE0617}"/>
            </a:ext>
          </a:extLst>
        </xdr:cNvPr>
        <xdr:cNvSpPr>
          <a:spLocks noChangeAspect="1" noChangeArrowheads="1"/>
        </xdr:cNvSpPr>
      </xdr:nvSpPr>
      <xdr:spPr bwMode="auto">
        <a:xfrm>
          <a:off x="1885950" y="14363700"/>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3447</xdr:rowOff>
    </xdr:to>
    <xdr:sp macro="" textlink="">
      <xdr:nvSpPr>
        <xdr:cNvPr id="238" name="AutoShape 257" descr="+">
          <a:extLst>
            <a:ext uri="{FF2B5EF4-FFF2-40B4-BE49-F238E27FC236}">
              <a16:creationId xmlns:a16="http://schemas.microsoft.com/office/drawing/2014/main" id="{A32E22FD-8DFC-47E1-BF07-DDEEAF22F550}"/>
            </a:ext>
          </a:extLst>
        </xdr:cNvPr>
        <xdr:cNvSpPr>
          <a:spLocks noChangeAspect="1" noChangeArrowheads="1"/>
        </xdr:cNvSpPr>
      </xdr:nvSpPr>
      <xdr:spPr bwMode="auto">
        <a:xfrm>
          <a:off x="1885950" y="14363700"/>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64263</xdr:rowOff>
    </xdr:to>
    <xdr:sp macro="" textlink="">
      <xdr:nvSpPr>
        <xdr:cNvPr id="239" name="AutoShape 258" descr="+">
          <a:extLst>
            <a:ext uri="{FF2B5EF4-FFF2-40B4-BE49-F238E27FC236}">
              <a16:creationId xmlns:a16="http://schemas.microsoft.com/office/drawing/2014/main" id="{D056D05A-0F06-4387-BD71-0BDDC088A434}"/>
            </a:ext>
          </a:extLst>
        </xdr:cNvPr>
        <xdr:cNvSpPr>
          <a:spLocks noChangeAspect="1" noChangeArrowheads="1"/>
        </xdr:cNvSpPr>
      </xdr:nvSpPr>
      <xdr:spPr bwMode="auto">
        <a:xfrm>
          <a:off x="1885950" y="14363700"/>
          <a:ext cx="304800" cy="27174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181937</xdr:rowOff>
    </xdr:to>
    <xdr:sp macro="" textlink="">
      <xdr:nvSpPr>
        <xdr:cNvPr id="240" name="AutoShape 259" descr="+">
          <a:extLst>
            <a:ext uri="{FF2B5EF4-FFF2-40B4-BE49-F238E27FC236}">
              <a16:creationId xmlns:a16="http://schemas.microsoft.com/office/drawing/2014/main" id="{C0D8BF44-54A6-421B-A5E4-720419A99E12}"/>
            </a:ext>
          </a:extLst>
        </xdr:cNvPr>
        <xdr:cNvSpPr>
          <a:spLocks noChangeAspect="1" noChangeArrowheads="1"/>
        </xdr:cNvSpPr>
      </xdr:nvSpPr>
      <xdr:spPr bwMode="auto">
        <a:xfrm>
          <a:off x="1885950" y="14363700"/>
          <a:ext cx="304800" cy="1819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97321</xdr:rowOff>
    </xdr:to>
    <xdr:sp macro="" textlink="">
      <xdr:nvSpPr>
        <xdr:cNvPr id="241" name="AutoShape 260" descr="+">
          <a:extLst>
            <a:ext uri="{FF2B5EF4-FFF2-40B4-BE49-F238E27FC236}">
              <a16:creationId xmlns:a16="http://schemas.microsoft.com/office/drawing/2014/main" id="{DE2F23A8-863F-4BA8-AE39-422443F98357}"/>
            </a:ext>
          </a:extLst>
        </xdr:cNvPr>
        <xdr:cNvSpPr>
          <a:spLocks noChangeAspect="1" noChangeArrowheads="1"/>
        </xdr:cNvSpPr>
      </xdr:nvSpPr>
      <xdr:spPr bwMode="auto">
        <a:xfrm>
          <a:off x="1885950" y="143637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3445</xdr:rowOff>
    </xdr:to>
    <xdr:sp macro="" textlink="">
      <xdr:nvSpPr>
        <xdr:cNvPr id="242" name="AutoShape 261" descr="+">
          <a:extLst>
            <a:ext uri="{FF2B5EF4-FFF2-40B4-BE49-F238E27FC236}">
              <a16:creationId xmlns:a16="http://schemas.microsoft.com/office/drawing/2014/main" id="{BF1B0113-6812-48C1-8CE6-ACA109094D97}"/>
            </a:ext>
          </a:extLst>
        </xdr:cNvPr>
        <xdr:cNvSpPr>
          <a:spLocks noChangeAspect="1" noChangeArrowheads="1"/>
        </xdr:cNvSpPr>
      </xdr:nvSpPr>
      <xdr:spPr bwMode="auto">
        <a:xfrm>
          <a:off x="1885950" y="14363700"/>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3447</xdr:rowOff>
    </xdr:to>
    <xdr:sp macro="" textlink="">
      <xdr:nvSpPr>
        <xdr:cNvPr id="243" name="AutoShape 262" descr="+">
          <a:extLst>
            <a:ext uri="{FF2B5EF4-FFF2-40B4-BE49-F238E27FC236}">
              <a16:creationId xmlns:a16="http://schemas.microsoft.com/office/drawing/2014/main" id="{3C34D504-09C8-43B4-8CE5-D869FFFDEC7E}"/>
            </a:ext>
          </a:extLst>
        </xdr:cNvPr>
        <xdr:cNvSpPr>
          <a:spLocks noChangeAspect="1" noChangeArrowheads="1"/>
        </xdr:cNvSpPr>
      </xdr:nvSpPr>
      <xdr:spPr bwMode="auto">
        <a:xfrm>
          <a:off x="1885950" y="14363700"/>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165329</xdr:rowOff>
    </xdr:to>
    <xdr:sp macro="" textlink="">
      <xdr:nvSpPr>
        <xdr:cNvPr id="244" name="AutoShape 263" descr="+">
          <a:extLst>
            <a:ext uri="{FF2B5EF4-FFF2-40B4-BE49-F238E27FC236}">
              <a16:creationId xmlns:a16="http://schemas.microsoft.com/office/drawing/2014/main" id="{8C53C3A1-5E2D-4311-B3B5-8E2F096A019D}"/>
            </a:ext>
          </a:extLst>
        </xdr:cNvPr>
        <xdr:cNvSpPr>
          <a:spLocks noChangeAspect="1" noChangeArrowheads="1"/>
        </xdr:cNvSpPr>
      </xdr:nvSpPr>
      <xdr:spPr bwMode="auto">
        <a:xfrm>
          <a:off x="1885950" y="14363700"/>
          <a:ext cx="304800" cy="16532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165328</xdr:rowOff>
    </xdr:to>
    <xdr:sp macro="" textlink="">
      <xdr:nvSpPr>
        <xdr:cNvPr id="245" name="AutoShape 264" descr="+">
          <a:extLst>
            <a:ext uri="{FF2B5EF4-FFF2-40B4-BE49-F238E27FC236}">
              <a16:creationId xmlns:a16="http://schemas.microsoft.com/office/drawing/2014/main" id="{F63CCA87-B285-4860-B3C1-75C731FBDDAA}"/>
            </a:ext>
          </a:extLst>
        </xdr:cNvPr>
        <xdr:cNvSpPr>
          <a:spLocks noChangeAspect="1" noChangeArrowheads="1"/>
        </xdr:cNvSpPr>
      </xdr:nvSpPr>
      <xdr:spPr bwMode="auto">
        <a:xfrm>
          <a:off x="1885950" y="14363700"/>
          <a:ext cx="304800" cy="16532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204111</xdr:rowOff>
    </xdr:to>
    <xdr:sp macro="" textlink="">
      <xdr:nvSpPr>
        <xdr:cNvPr id="246" name="AutoShape 265" descr="+">
          <a:extLst>
            <a:ext uri="{FF2B5EF4-FFF2-40B4-BE49-F238E27FC236}">
              <a16:creationId xmlns:a16="http://schemas.microsoft.com/office/drawing/2014/main" id="{D148DFA8-6E6C-434F-AAA6-DC7546CF9AFD}"/>
            </a:ext>
          </a:extLst>
        </xdr:cNvPr>
        <xdr:cNvSpPr>
          <a:spLocks noChangeAspect="1" noChangeArrowheads="1"/>
        </xdr:cNvSpPr>
      </xdr:nvSpPr>
      <xdr:spPr bwMode="auto">
        <a:xfrm>
          <a:off x="1885950" y="14363700"/>
          <a:ext cx="304800" cy="2041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204106</xdr:rowOff>
    </xdr:to>
    <xdr:sp macro="" textlink="">
      <xdr:nvSpPr>
        <xdr:cNvPr id="247" name="AutoShape 266" descr="+">
          <a:extLst>
            <a:ext uri="{FF2B5EF4-FFF2-40B4-BE49-F238E27FC236}">
              <a16:creationId xmlns:a16="http://schemas.microsoft.com/office/drawing/2014/main" id="{A239D028-B4CD-4837-A4D8-F9F3F31CBE37}"/>
            </a:ext>
          </a:extLst>
        </xdr:cNvPr>
        <xdr:cNvSpPr>
          <a:spLocks noChangeAspect="1" noChangeArrowheads="1"/>
        </xdr:cNvSpPr>
      </xdr:nvSpPr>
      <xdr:spPr bwMode="auto">
        <a:xfrm>
          <a:off x="1885950" y="14363700"/>
          <a:ext cx="304800" cy="20410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204108</xdr:rowOff>
    </xdr:to>
    <xdr:sp macro="" textlink="">
      <xdr:nvSpPr>
        <xdr:cNvPr id="248" name="AutoShape 267" descr="+">
          <a:extLst>
            <a:ext uri="{FF2B5EF4-FFF2-40B4-BE49-F238E27FC236}">
              <a16:creationId xmlns:a16="http://schemas.microsoft.com/office/drawing/2014/main" id="{9EAE9E6B-04FF-4878-A2C6-6E7587FF0286}"/>
            </a:ext>
          </a:extLst>
        </xdr:cNvPr>
        <xdr:cNvSpPr>
          <a:spLocks noChangeAspect="1" noChangeArrowheads="1"/>
        </xdr:cNvSpPr>
      </xdr:nvSpPr>
      <xdr:spPr bwMode="auto">
        <a:xfrm>
          <a:off x="1885950" y="14363700"/>
          <a:ext cx="304800" cy="2041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204111</xdr:rowOff>
    </xdr:to>
    <xdr:sp macro="" textlink="">
      <xdr:nvSpPr>
        <xdr:cNvPr id="249" name="AutoShape 268" descr="+">
          <a:extLst>
            <a:ext uri="{FF2B5EF4-FFF2-40B4-BE49-F238E27FC236}">
              <a16:creationId xmlns:a16="http://schemas.microsoft.com/office/drawing/2014/main" id="{D59BB3B9-58D7-4381-8C96-2EAF269C7505}"/>
            </a:ext>
          </a:extLst>
        </xdr:cNvPr>
        <xdr:cNvSpPr>
          <a:spLocks noChangeAspect="1" noChangeArrowheads="1"/>
        </xdr:cNvSpPr>
      </xdr:nvSpPr>
      <xdr:spPr bwMode="auto">
        <a:xfrm>
          <a:off x="1885950" y="14363700"/>
          <a:ext cx="304800" cy="2041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204109</xdr:rowOff>
    </xdr:to>
    <xdr:sp macro="" textlink="">
      <xdr:nvSpPr>
        <xdr:cNvPr id="250" name="AutoShape 269" descr="+">
          <a:extLst>
            <a:ext uri="{FF2B5EF4-FFF2-40B4-BE49-F238E27FC236}">
              <a16:creationId xmlns:a16="http://schemas.microsoft.com/office/drawing/2014/main" id="{7B31A7A9-55FB-439A-8B4F-F5A30D0BC943}"/>
            </a:ext>
          </a:extLst>
        </xdr:cNvPr>
        <xdr:cNvSpPr>
          <a:spLocks noChangeAspect="1" noChangeArrowheads="1"/>
        </xdr:cNvSpPr>
      </xdr:nvSpPr>
      <xdr:spPr bwMode="auto">
        <a:xfrm>
          <a:off x="1885950" y="14363700"/>
          <a:ext cx="304800" cy="2041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204109</xdr:rowOff>
    </xdr:to>
    <xdr:sp macro="" textlink="">
      <xdr:nvSpPr>
        <xdr:cNvPr id="251" name="AutoShape 270" descr="+">
          <a:extLst>
            <a:ext uri="{FF2B5EF4-FFF2-40B4-BE49-F238E27FC236}">
              <a16:creationId xmlns:a16="http://schemas.microsoft.com/office/drawing/2014/main" id="{16931D8A-4FB5-4399-A7E4-A813D612CC39}"/>
            </a:ext>
          </a:extLst>
        </xdr:cNvPr>
        <xdr:cNvSpPr>
          <a:spLocks noChangeAspect="1" noChangeArrowheads="1"/>
        </xdr:cNvSpPr>
      </xdr:nvSpPr>
      <xdr:spPr bwMode="auto">
        <a:xfrm>
          <a:off x="1885950" y="14363700"/>
          <a:ext cx="304800" cy="2041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101403</xdr:rowOff>
    </xdr:to>
    <xdr:sp macro="" textlink="">
      <xdr:nvSpPr>
        <xdr:cNvPr id="252" name="AutoShape 271" descr="+">
          <a:extLst>
            <a:ext uri="{FF2B5EF4-FFF2-40B4-BE49-F238E27FC236}">
              <a16:creationId xmlns:a16="http://schemas.microsoft.com/office/drawing/2014/main" id="{E4C61156-67CA-4C4B-AC27-085C958AA6C6}"/>
            </a:ext>
          </a:extLst>
        </xdr:cNvPr>
        <xdr:cNvSpPr>
          <a:spLocks noChangeAspect="1" noChangeArrowheads="1"/>
        </xdr:cNvSpPr>
      </xdr:nvSpPr>
      <xdr:spPr bwMode="auto">
        <a:xfrm>
          <a:off x="1885950" y="14363700"/>
          <a:ext cx="304800" cy="3088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204109</xdr:rowOff>
    </xdr:to>
    <xdr:sp macro="" textlink="">
      <xdr:nvSpPr>
        <xdr:cNvPr id="253" name="AutoShape 272" descr="+">
          <a:extLst>
            <a:ext uri="{FF2B5EF4-FFF2-40B4-BE49-F238E27FC236}">
              <a16:creationId xmlns:a16="http://schemas.microsoft.com/office/drawing/2014/main" id="{4E147C30-D6F0-4C03-9EB0-CBBF0E5FD53D}"/>
            </a:ext>
          </a:extLst>
        </xdr:cNvPr>
        <xdr:cNvSpPr>
          <a:spLocks noChangeAspect="1" noChangeArrowheads="1"/>
        </xdr:cNvSpPr>
      </xdr:nvSpPr>
      <xdr:spPr bwMode="auto">
        <a:xfrm>
          <a:off x="1885950" y="14363700"/>
          <a:ext cx="304800" cy="2041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171731</xdr:rowOff>
    </xdr:to>
    <xdr:sp macro="" textlink="">
      <xdr:nvSpPr>
        <xdr:cNvPr id="254" name="AutoShape 273" descr="+">
          <a:extLst>
            <a:ext uri="{FF2B5EF4-FFF2-40B4-BE49-F238E27FC236}">
              <a16:creationId xmlns:a16="http://schemas.microsoft.com/office/drawing/2014/main" id="{FC230C2E-BDC1-417D-9591-E573AD2DB442}"/>
            </a:ext>
          </a:extLst>
        </xdr:cNvPr>
        <xdr:cNvSpPr>
          <a:spLocks noChangeAspect="1" noChangeArrowheads="1"/>
        </xdr:cNvSpPr>
      </xdr:nvSpPr>
      <xdr:spPr bwMode="auto">
        <a:xfrm>
          <a:off x="1885950" y="14363700"/>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171731</xdr:rowOff>
    </xdr:to>
    <xdr:sp macro="" textlink="">
      <xdr:nvSpPr>
        <xdr:cNvPr id="255" name="AutoShape 274" descr="+">
          <a:extLst>
            <a:ext uri="{FF2B5EF4-FFF2-40B4-BE49-F238E27FC236}">
              <a16:creationId xmlns:a16="http://schemas.microsoft.com/office/drawing/2014/main" id="{158FBED5-58CD-4934-9C80-15F513D1CA4C}"/>
            </a:ext>
          </a:extLst>
        </xdr:cNvPr>
        <xdr:cNvSpPr>
          <a:spLocks noChangeAspect="1" noChangeArrowheads="1"/>
        </xdr:cNvSpPr>
      </xdr:nvSpPr>
      <xdr:spPr bwMode="auto">
        <a:xfrm>
          <a:off x="1885950" y="14363700"/>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185297</xdr:rowOff>
    </xdr:to>
    <xdr:sp macro="" textlink="">
      <xdr:nvSpPr>
        <xdr:cNvPr id="256" name="AutoShape 275" descr="+">
          <a:extLst>
            <a:ext uri="{FF2B5EF4-FFF2-40B4-BE49-F238E27FC236}">
              <a16:creationId xmlns:a16="http://schemas.microsoft.com/office/drawing/2014/main" id="{C9999F55-81F7-48B5-92B1-AFBC816FE69F}"/>
            </a:ext>
          </a:extLst>
        </xdr:cNvPr>
        <xdr:cNvSpPr>
          <a:spLocks noChangeAspect="1" noChangeArrowheads="1"/>
        </xdr:cNvSpPr>
      </xdr:nvSpPr>
      <xdr:spPr bwMode="auto">
        <a:xfrm>
          <a:off x="1885950" y="14363700"/>
          <a:ext cx="304800" cy="18529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171731</xdr:rowOff>
    </xdr:to>
    <xdr:sp macro="" textlink="">
      <xdr:nvSpPr>
        <xdr:cNvPr id="257" name="AutoShape 276" descr="+">
          <a:extLst>
            <a:ext uri="{FF2B5EF4-FFF2-40B4-BE49-F238E27FC236}">
              <a16:creationId xmlns:a16="http://schemas.microsoft.com/office/drawing/2014/main" id="{C9075CF5-9717-4905-BB0F-59A2F078B023}"/>
            </a:ext>
          </a:extLst>
        </xdr:cNvPr>
        <xdr:cNvSpPr>
          <a:spLocks noChangeAspect="1" noChangeArrowheads="1"/>
        </xdr:cNvSpPr>
      </xdr:nvSpPr>
      <xdr:spPr bwMode="auto">
        <a:xfrm>
          <a:off x="1885950" y="14363700"/>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3444</xdr:rowOff>
    </xdr:to>
    <xdr:sp macro="" textlink="">
      <xdr:nvSpPr>
        <xdr:cNvPr id="258" name="AutoShape 277" descr="+">
          <a:extLst>
            <a:ext uri="{FF2B5EF4-FFF2-40B4-BE49-F238E27FC236}">
              <a16:creationId xmlns:a16="http://schemas.microsoft.com/office/drawing/2014/main" id="{4765583C-FB92-49DB-9500-ED0A0A9FEC47}"/>
            </a:ext>
          </a:extLst>
        </xdr:cNvPr>
        <xdr:cNvSpPr>
          <a:spLocks noChangeAspect="1" noChangeArrowheads="1"/>
        </xdr:cNvSpPr>
      </xdr:nvSpPr>
      <xdr:spPr bwMode="auto">
        <a:xfrm>
          <a:off x="1885950" y="14363700"/>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3446</xdr:rowOff>
    </xdr:to>
    <xdr:sp macro="" textlink="">
      <xdr:nvSpPr>
        <xdr:cNvPr id="259" name="AutoShape 278" descr="+">
          <a:extLst>
            <a:ext uri="{FF2B5EF4-FFF2-40B4-BE49-F238E27FC236}">
              <a16:creationId xmlns:a16="http://schemas.microsoft.com/office/drawing/2014/main" id="{C02BDEBC-A01F-4D9B-8491-E7D1580485B0}"/>
            </a:ext>
          </a:extLst>
        </xdr:cNvPr>
        <xdr:cNvSpPr>
          <a:spLocks noChangeAspect="1" noChangeArrowheads="1"/>
        </xdr:cNvSpPr>
      </xdr:nvSpPr>
      <xdr:spPr bwMode="auto">
        <a:xfrm>
          <a:off x="1885950" y="14363700"/>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191461</xdr:rowOff>
    </xdr:to>
    <xdr:sp macro="" textlink="">
      <xdr:nvSpPr>
        <xdr:cNvPr id="260" name="AutoShape 279" descr="+">
          <a:extLst>
            <a:ext uri="{FF2B5EF4-FFF2-40B4-BE49-F238E27FC236}">
              <a16:creationId xmlns:a16="http://schemas.microsoft.com/office/drawing/2014/main" id="{DBD42D21-87A9-487E-858F-77A099DA079D}"/>
            </a:ext>
          </a:extLst>
        </xdr:cNvPr>
        <xdr:cNvSpPr>
          <a:spLocks noChangeAspect="1" noChangeArrowheads="1"/>
        </xdr:cNvSpPr>
      </xdr:nvSpPr>
      <xdr:spPr bwMode="auto">
        <a:xfrm>
          <a:off x="1885950" y="14363700"/>
          <a:ext cx="304800" cy="19146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3448</xdr:rowOff>
    </xdr:to>
    <xdr:sp macro="" textlink="">
      <xdr:nvSpPr>
        <xdr:cNvPr id="261" name="AutoShape 280" descr="+">
          <a:extLst>
            <a:ext uri="{FF2B5EF4-FFF2-40B4-BE49-F238E27FC236}">
              <a16:creationId xmlns:a16="http://schemas.microsoft.com/office/drawing/2014/main" id="{8DCE97D5-6EC4-4B22-96B4-6E65AE1FEDFC}"/>
            </a:ext>
          </a:extLst>
        </xdr:cNvPr>
        <xdr:cNvSpPr>
          <a:spLocks noChangeAspect="1" noChangeArrowheads="1"/>
        </xdr:cNvSpPr>
      </xdr:nvSpPr>
      <xdr:spPr bwMode="auto">
        <a:xfrm>
          <a:off x="1885950" y="14363700"/>
          <a:ext cx="304800" cy="2105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3445</xdr:rowOff>
    </xdr:to>
    <xdr:sp macro="" textlink="">
      <xdr:nvSpPr>
        <xdr:cNvPr id="262" name="AutoShape 281" descr="+">
          <a:extLst>
            <a:ext uri="{FF2B5EF4-FFF2-40B4-BE49-F238E27FC236}">
              <a16:creationId xmlns:a16="http://schemas.microsoft.com/office/drawing/2014/main" id="{F13156B9-E5B7-4E04-B6A9-295469557B0E}"/>
            </a:ext>
          </a:extLst>
        </xdr:cNvPr>
        <xdr:cNvSpPr>
          <a:spLocks noChangeAspect="1" noChangeArrowheads="1"/>
        </xdr:cNvSpPr>
      </xdr:nvSpPr>
      <xdr:spPr bwMode="auto">
        <a:xfrm>
          <a:off x="1885950" y="14363700"/>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3443</xdr:rowOff>
    </xdr:to>
    <xdr:sp macro="" textlink="">
      <xdr:nvSpPr>
        <xdr:cNvPr id="263" name="AutoShape 282" descr="+">
          <a:extLst>
            <a:ext uri="{FF2B5EF4-FFF2-40B4-BE49-F238E27FC236}">
              <a16:creationId xmlns:a16="http://schemas.microsoft.com/office/drawing/2014/main" id="{D5C22E89-8D9B-495E-8F75-10365BE91C19}"/>
            </a:ext>
          </a:extLst>
        </xdr:cNvPr>
        <xdr:cNvSpPr>
          <a:spLocks noChangeAspect="1" noChangeArrowheads="1"/>
        </xdr:cNvSpPr>
      </xdr:nvSpPr>
      <xdr:spPr bwMode="auto">
        <a:xfrm>
          <a:off x="1885950" y="14363700"/>
          <a:ext cx="304800" cy="2105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3447</xdr:rowOff>
    </xdr:to>
    <xdr:sp macro="" textlink="">
      <xdr:nvSpPr>
        <xdr:cNvPr id="264" name="AutoShape 283" descr="+">
          <a:extLst>
            <a:ext uri="{FF2B5EF4-FFF2-40B4-BE49-F238E27FC236}">
              <a16:creationId xmlns:a16="http://schemas.microsoft.com/office/drawing/2014/main" id="{5A3142E9-91E1-4723-93EC-42C1C79D682B}"/>
            </a:ext>
          </a:extLst>
        </xdr:cNvPr>
        <xdr:cNvSpPr>
          <a:spLocks noChangeAspect="1" noChangeArrowheads="1"/>
        </xdr:cNvSpPr>
      </xdr:nvSpPr>
      <xdr:spPr bwMode="auto">
        <a:xfrm>
          <a:off x="1885950" y="14363700"/>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3447</xdr:rowOff>
    </xdr:to>
    <xdr:sp macro="" textlink="">
      <xdr:nvSpPr>
        <xdr:cNvPr id="265" name="AutoShape 284" descr="+">
          <a:extLst>
            <a:ext uri="{FF2B5EF4-FFF2-40B4-BE49-F238E27FC236}">
              <a16:creationId xmlns:a16="http://schemas.microsoft.com/office/drawing/2014/main" id="{8ADC155D-098B-4C34-B852-4E331D62D72C}"/>
            </a:ext>
          </a:extLst>
        </xdr:cNvPr>
        <xdr:cNvSpPr>
          <a:spLocks noChangeAspect="1" noChangeArrowheads="1"/>
        </xdr:cNvSpPr>
      </xdr:nvSpPr>
      <xdr:spPr bwMode="auto">
        <a:xfrm>
          <a:off x="1885950" y="14363700"/>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181936</xdr:rowOff>
    </xdr:to>
    <xdr:sp macro="" textlink="">
      <xdr:nvSpPr>
        <xdr:cNvPr id="266" name="AutoShape 285" descr="+">
          <a:extLst>
            <a:ext uri="{FF2B5EF4-FFF2-40B4-BE49-F238E27FC236}">
              <a16:creationId xmlns:a16="http://schemas.microsoft.com/office/drawing/2014/main" id="{B3524175-4C15-4BA9-8BD7-29ACABC096F4}"/>
            </a:ext>
          </a:extLst>
        </xdr:cNvPr>
        <xdr:cNvSpPr>
          <a:spLocks noChangeAspect="1" noChangeArrowheads="1"/>
        </xdr:cNvSpPr>
      </xdr:nvSpPr>
      <xdr:spPr bwMode="auto">
        <a:xfrm>
          <a:off x="1885950" y="14363700"/>
          <a:ext cx="304800" cy="18193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200704</xdr:rowOff>
    </xdr:to>
    <xdr:sp macro="" textlink="">
      <xdr:nvSpPr>
        <xdr:cNvPr id="267" name="AutoShape 286" descr="+">
          <a:extLst>
            <a:ext uri="{FF2B5EF4-FFF2-40B4-BE49-F238E27FC236}">
              <a16:creationId xmlns:a16="http://schemas.microsoft.com/office/drawing/2014/main" id="{8570227F-7039-437A-82DB-24BCEF676ABD}"/>
            </a:ext>
          </a:extLst>
        </xdr:cNvPr>
        <xdr:cNvSpPr>
          <a:spLocks noChangeAspect="1" noChangeArrowheads="1"/>
        </xdr:cNvSpPr>
      </xdr:nvSpPr>
      <xdr:spPr bwMode="auto">
        <a:xfrm>
          <a:off x="1885950" y="14363700"/>
          <a:ext cx="304800" cy="20070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200707</xdr:rowOff>
    </xdr:to>
    <xdr:sp macro="" textlink="">
      <xdr:nvSpPr>
        <xdr:cNvPr id="268" name="AutoShape 287" descr="+">
          <a:extLst>
            <a:ext uri="{FF2B5EF4-FFF2-40B4-BE49-F238E27FC236}">
              <a16:creationId xmlns:a16="http://schemas.microsoft.com/office/drawing/2014/main" id="{897F7BF7-1165-4A81-A430-EF3FEBA33664}"/>
            </a:ext>
          </a:extLst>
        </xdr:cNvPr>
        <xdr:cNvSpPr>
          <a:spLocks noChangeAspect="1" noChangeArrowheads="1"/>
        </xdr:cNvSpPr>
      </xdr:nvSpPr>
      <xdr:spPr bwMode="auto">
        <a:xfrm>
          <a:off x="1885950" y="14363700"/>
          <a:ext cx="304800" cy="2007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204107</xdr:rowOff>
    </xdr:to>
    <xdr:sp macro="" textlink="">
      <xdr:nvSpPr>
        <xdr:cNvPr id="269" name="AutoShape 288" descr="+">
          <a:extLst>
            <a:ext uri="{FF2B5EF4-FFF2-40B4-BE49-F238E27FC236}">
              <a16:creationId xmlns:a16="http://schemas.microsoft.com/office/drawing/2014/main" id="{D5B81712-8E3A-4373-BB20-69EE325B0E55}"/>
            </a:ext>
          </a:extLst>
        </xdr:cNvPr>
        <xdr:cNvSpPr>
          <a:spLocks noChangeAspect="1" noChangeArrowheads="1"/>
        </xdr:cNvSpPr>
      </xdr:nvSpPr>
      <xdr:spPr bwMode="auto">
        <a:xfrm>
          <a:off x="1885950" y="14363700"/>
          <a:ext cx="304800" cy="2041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171730</xdr:rowOff>
    </xdr:to>
    <xdr:sp macro="" textlink="">
      <xdr:nvSpPr>
        <xdr:cNvPr id="270" name="AutoShape 289" descr="+">
          <a:extLst>
            <a:ext uri="{FF2B5EF4-FFF2-40B4-BE49-F238E27FC236}">
              <a16:creationId xmlns:a16="http://schemas.microsoft.com/office/drawing/2014/main" id="{972E418C-B522-478D-8C24-9AE1D44CF3D5}"/>
            </a:ext>
          </a:extLst>
        </xdr:cNvPr>
        <xdr:cNvSpPr>
          <a:spLocks noChangeAspect="1" noChangeArrowheads="1"/>
        </xdr:cNvSpPr>
      </xdr:nvSpPr>
      <xdr:spPr bwMode="auto">
        <a:xfrm>
          <a:off x="1885950" y="14363700"/>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3447</xdr:rowOff>
    </xdr:to>
    <xdr:sp macro="" textlink="">
      <xdr:nvSpPr>
        <xdr:cNvPr id="271" name="AutoShape 290" descr="+">
          <a:extLst>
            <a:ext uri="{FF2B5EF4-FFF2-40B4-BE49-F238E27FC236}">
              <a16:creationId xmlns:a16="http://schemas.microsoft.com/office/drawing/2014/main" id="{2638DB25-5B3E-48D9-8536-ABAAFC2D2046}"/>
            </a:ext>
          </a:extLst>
        </xdr:cNvPr>
        <xdr:cNvSpPr>
          <a:spLocks noChangeAspect="1" noChangeArrowheads="1"/>
        </xdr:cNvSpPr>
      </xdr:nvSpPr>
      <xdr:spPr bwMode="auto">
        <a:xfrm>
          <a:off x="1885950" y="14363700"/>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3446</xdr:rowOff>
    </xdr:to>
    <xdr:sp macro="" textlink="">
      <xdr:nvSpPr>
        <xdr:cNvPr id="272" name="AutoShape 291" descr="+">
          <a:extLst>
            <a:ext uri="{FF2B5EF4-FFF2-40B4-BE49-F238E27FC236}">
              <a16:creationId xmlns:a16="http://schemas.microsoft.com/office/drawing/2014/main" id="{6F6C4D78-6847-4F21-9185-2D41F4AA7C9B}"/>
            </a:ext>
          </a:extLst>
        </xdr:cNvPr>
        <xdr:cNvSpPr>
          <a:spLocks noChangeAspect="1" noChangeArrowheads="1"/>
        </xdr:cNvSpPr>
      </xdr:nvSpPr>
      <xdr:spPr bwMode="auto">
        <a:xfrm>
          <a:off x="1885950" y="14363700"/>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3447</xdr:rowOff>
    </xdr:to>
    <xdr:sp macro="" textlink="">
      <xdr:nvSpPr>
        <xdr:cNvPr id="273" name="AutoShape 292" descr="+">
          <a:extLst>
            <a:ext uri="{FF2B5EF4-FFF2-40B4-BE49-F238E27FC236}">
              <a16:creationId xmlns:a16="http://schemas.microsoft.com/office/drawing/2014/main" id="{7E6968E6-6A42-441C-B49D-0D756139B585}"/>
            </a:ext>
          </a:extLst>
        </xdr:cNvPr>
        <xdr:cNvSpPr>
          <a:spLocks noChangeAspect="1" noChangeArrowheads="1"/>
        </xdr:cNvSpPr>
      </xdr:nvSpPr>
      <xdr:spPr bwMode="auto">
        <a:xfrm>
          <a:off x="1885950" y="14363700"/>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3444</xdr:rowOff>
    </xdr:to>
    <xdr:sp macro="" textlink="">
      <xdr:nvSpPr>
        <xdr:cNvPr id="274" name="AutoShape 293" descr="+">
          <a:extLst>
            <a:ext uri="{FF2B5EF4-FFF2-40B4-BE49-F238E27FC236}">
              <a16:creationId xmlns:a16="http://schemas.microsoft.com/office/drawing/2014/main" id="{5CCD8C9F-5D4E-4C3E-9CD5-AE02C3DBDC58}"/>
            </a:ext>
          </a:extLst>
        </xdr:cNvPr>
        <xdr:cNvSpPr>
          <a:spLocks noChangeAspect="1" noChangeArrowheads="1"/>
        </xdr:cNvSpPr>
      </xdr:nvSpPr>
      <xdr:spPr bwMode="auto">
        <a:xfrm>
          <a:off x="1885950" y="14363700"/>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3447</xdr:rowOff>
    </xdr:to>
    <xdr:sp macro="" textlink="">
      <xdr:nvSpPr>
        <xdr:cNvPr id="275" name="AutoShape 294" descr="+">
          <a:extLst>
            <a:ext uri="{FF2B5EF4-FFF2-40B4-BE49-F238E27FC236}">
              <a16:creationId xmlns:a16="http://schemas.microsoft.com/office/drawing/2014/main" id="{D400C023-6163-4012-B7AE-F7BCDB67BA79}"/>
            </a:ext>
          </a:extLst>
        </xdr:cNvPr>
        <xdr:cNvSpPr>
          <a:spLocks noChangeAspect="1" noChangeArrowheads="1"/>
        </xdr:cNvSpPr>
      </xdr:nvSpPr>
      <xdr:spPr bwMode="auto">
        <a:xfrm>
          <a:off x="1885950" y="14363700"/>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97599</xdr:rowOff>
    </xdr:to>
    <xdr:sp macro="" textlink="">
      <xdr:nvSpPr>
        <xdr:cNvPr id="276" name="AutoShape 295" descr="+">
          <a:extLst>
            <a:ext uri="{FF2B5EF4-FFF2-40B4-BE49-F238E27FC236}">
              <a16:creationId xmlns:a16="http://schemas.microsoft.com/office/drawing/2014/main" id="{D988E7F7-0B86-42C5-BB68-EFE7E833DBA4}"/>
            </a:ext>
          </a:extLst>
        </xdr:cNvPr>
        <xdr:cNvSpPr>
          <a:spLocks noChangeAspect="1" noChangeArrowheads="1"/>
        </xdr:cNvSpPr>
      </xdr:nvSpPr>
      <xdr:spPr bwMode="auto">
        <a:xfrm>
          <a:off x="1885950" y="14363700"/>
          <a:ext cx="304800" cy="30507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13</xdr:row>
      <xdr:rowOff>181938</xdr:rowOff>
    </xdr:to>
    <xdr:sp macro="" textlink="">
      <xdr:nvSpPr>
        <xdr:cNvPr id="277" name="AutoShape 296" descr="+">
          <a:extLst>
            <a:ext uri="{FF2B5EF4-FFF2-40B4-BE49-F238E27FC236}">
              <a16:creationId xmlns:a16="http://schemas.microsoft.com/office/drawing/2014/main" id="{025A30C9-8A20-4153-8E70-39E67B3B3DD1}"/>
            </a:ext>
          </a:extLst>
        </xdr:cNvPr>
        <xdr:cNvSpPr>
          <a:spLocks noChangeAspect="1" noChangeArrowheads="1"/>
        </xdr:cNvSpPr>
      </xdr:nvSpPr>
      <xdr:spPr bwMode="auto">
        <a:xfrm>
          <a:off x="1885950" y="14363700"/>
          <a:ext cx="304800" cy="18193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98998</xdr:rowOff>
    </xdr:to>
    <xdr:sp macro="" textlink="">
      <xdr:nvSpPr>
        <xdr:cNvPr id="278" name="AutoShape 297" descr="+">
          <a:extLst>
            <a:ext uri="{FF2B5EF4-FFF2-40B4-BE49-F238E27FC236}">
              <a16:creationId xmlns:a16="http://schemas.microsoft.com/office/drawing/2014/main" id="{154573C4-569E-47C1-A2E3-6EF781331B5D}"/>
            </a:ext>
          </a:extLst>
        </xdr:cNvPr>
        <xdr:cNvSpPr>
          <a:spLocks noChangeAspect="1" noChangeArrowheads="1"/>
        </xdr:cNvSpPr>
      </xdr:nvSpPr>
      <xdr:spPr bwMode="auto">
        <a:xfrm>
          <a:off x="1885950" y="14363700"/>
          <a:ext cx="304800" cy="30647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3447</xdr:rowOff>
    </xdr:to>
    <xdr:sp macro="" textlink="">
      <xdr:nvSpPr>
        <xdr:cNvPr id="279" name="AutoShape 298" descr="+">
          <a:extLst>
            <a:ext uri="{FF2B5EF4-FFF2-40B4-BE49-F238E27FC236}">
              <a16:creationId xmlns:a16="http://schemas.microsoft.com/office/drawing/2014/main" id="{1C7E1A84-07BF-493A-9FCB-F86B90DF287E}"/>
            </a:ext>
          </a:extLst>
        </xdr:cNvPr>
        <xdr:cNvSpPr>
          <a:spLocks noChangeAspect="1" noChangeArrowheads="1"/>
        </xdr:cNvSpPr>
      </xdr:nvSpPr>
      <xdr:spPr bwMode="auto">
        <a:xfrm>
          <a:off x="1885950" y="14363700"/>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0</xdr:colOff>
      <xdr:row>13</xdr:row>
      <xdr:rowOff>0</xdr:rowOff>
    </xdr:from>
    <xdr:ext cx="304800" cy="166687"/>
    <xdr:sp macro="" textlink="">
      <xdr:nvSpPr>
        <xdr:cNvPr id="280" name="AutoShape 80" descr="+">
          <a:extLst>
            <a:ext uri="{FF2B5EF4-FFF2-40B4-BE49-F238E27FC236}">
              <a16:creationId xmlns:a16="http://schemas.microsoft.com/office/drawing/2014/main" id="{2460690B-EFD9-424B-AFCC-E8FED7C2DF04}"/>
            </a:ext>
          </a:extLst>
        </xdr:cNvPr>
        <xdr:cNvSpPr>
          <a:spLocks noChangeAspect="1" noChangeArrowheads="1"/>
        </xdr:cNvSpPr>
      </xdr:nvSpPr>
      <xdr:spPr bwMode="auto">
        <a:xfrm>
          <a:off x="1885950" y="14363700"/>
          <a:ext cx="304800" cy="1666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1496786</xdr:colOff>
      <xdr:row>13</xdr:row>
      <xdr:rowOff>0</xdr:rowOff>
    </xdr:from>
    <xdr:ext cx="304800" cy="166687"/>
    <xdr:sp macro="" textlink="">
      <xdr:nvSpPr>
        <xdr:cNvPr id="281" name="AutoShape 80" descr="+">
          <a:extLst>
            <a:ext uri="{FF2B5EF4-FFF2-40B4-BE49-F238E27FC236}">
              <a16:creationId xmlns:a16="http://schemas.microsoft.com/office/drawing/2014/main" id="{A17B50F5-F34F-4D1A-A956-5D321CB9B4E1}"/>
            </a:ext>
          </a:extLst>
        </xdr:cNvPr>
        <xdr:cNvSpPr>
          <a:spLocks noChangeAspect="1" noChangeArrowheads="1"/>
        </xdr:cNvSpPr>
      </xdr:nvSpPr>
      <xdr:spPr bwMode="auto">
        <a:xfrm>
          <a:off x="3382736" y="14363700"/>
          <a:ext cx="304800" cy="1666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71731"/>
    <xdr:sp macro="" textlink="">
      <xdr:nvSpPr>
        <xdr:cNvPr id="286" name="AutoShape 4" descr="+">
          <a:extLst>
            <a:ext uri="{FF2B5EF4-FFF2-40B4-BE49-F238E27FC236}">
              <a16:creationId xmlns:a16="http://schemas.microsoft.com/office/drawing/2014/main" id="{ADA9691B-6907-4484-9394-B6CECEEF08E0}"/>
            </a:ext>
          </a:extLst>
        </xdr:cNvPr>
        <xdr:cNvSpPr>
          <a:spLocks noChangeAspect="1" noChangeArrowheads="1"/>
        </xdr:cNvSpPr>
      </xdr:nvSpPr>
      <xdr:spPr bwMode="auto">
        <a:xfrm>
          <a:off x="1885950" y="2695575"/>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71730"/>
    <xdr:sp macro="" textlink="">
      <xdr:nvSpPr>
        <xdr:cNvPr id="287" name="AutoShape 5" descr="+">
          <a:extLst>
            <a:ext uri="{FF2B5EF4-FFF2-40B4-BE49-F238E27FC236}">
              <a16:creationId xmlns:a16="http://schemas.microsoft.com/office/drawing/2014/main" id="{3974AB13-94AB-4A8D-B8E3-D63D1E393AC9}"/>
            </a:ext>
          </a:extLst>
        </xdr:cNvPr>
        <xdr:cNvSpPr>
          <a:spLocks noChangeAspect="1" noChangeArrowheads="1"/>
        </xdr:cNvSpPr>
      </xdr:nvSpPr>
      <xdr:spPr bwMode="auto">
        <a:xfrm>
          <a:off x="1885950" y="2695575"/>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01707"/>
    <xdr:sp macro="" textlink="">
      <xdr:nvSpPr>
        <xdr:cNvPr id="288" name="AutoShape 6" descr="+">
          <a:extLst>
            <a:ext uri="{FF2B5EF4-FFF2-40B4-BE49-F238E27FC236}">
              <a16:creationId xmlns:a16="http://schemas.microsoft.com/office/drawing/2014/main" id="{81F26839-F8AE-41BE-8AE3-0B55898FFB67}"/>
            </a:ext>
          </a:extLst>
        </xdr:cNvPr>
        <xdr:cNvSpPr>
          <a:spLocks noChangeAspect="1" noChangeArrowheads="1"/>
        </xdr:cNvSpPr>
      </xdr:nvSpPr>
      <xdr:spPr bwMode="auto">
        <a:xfrm>
          <a:off x="1885950" y="2695575"/>
          <a:ext cx="304800" cy="20170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74665"/>
    <xdr:sp macro="" textlink="">
      <xdr:nvSpPr>
        <xdr:cNvPr id="289" name="AutoShape 7" descr="+">
          <a:extLst>
            <a:ext uri="{FF2B5EF4-FFF2-40B4-BE49-F238E27FC236}">
              <a16:creationId xmlns:a16="http://schemas.microsoft.com/office/drawing/2014/main" id="{DA2886FC-F926-445C-829D-B18048D9363D}"/>
            </a:ext>
          </a:extLst>
        </xdr:cNvPr>
        <xdr:cNvSpPr>
          <a:spLocks noChangeAspect="1" noChangeArrowheads="1"/>
        </xdr:cNvSpPr>
      </xdr:nvSpPr>
      <xdr:spPr bwMode="auto">
        <a:xfrm>
          <a:off x="1885950" y="2695575"/>
          <a:ext cx="304800" cy="17466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01708"/>
    <xdr:sp macro="" textlink="">
      <xdr:nvSpPr>
        <xdr:cNvPr id="290" name="AutoShape 8" descr="+">
          <a:extLst>
            <a:ext uri="{FF2B5EF4-FFF2-40B4-BE49-F238E27FC236}">
              <a16:creationId xmlns:a16="http://schemas.microsoft.com/office/drawing/2014/main" id="{5605B510-7BE5-4CC5-847B-088995FA334B}"/>
            </a:ext>
          </a:extLst>
        </xdr:cNvPr>
        <xdr:cNvSpPr>
          <a:spLocks noChangeAspect="1" noChangeArrowheads="1"/>
        </xdr:cNvSpPr>
      </xdr:nvSpPr>
      <xdr:spPr bwMode="auto">
        <a:xfrm>
          <a:off x="1885950" y="2695575"/>
          <a:ext cx="304800" cy="20170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01705"/>
    <xdr:sp macro="" textlink="">
      <xdr:nvSpPr>
        <xdr:cNvPr id="291" name="AutoShape 9" descr="+">
          <a:extLst>
            <a:ext uri="{FF2B5EF4-FFF2-40B4-BE49-F238E27FC236}">
              <a16:creationId xmlns:a16="http://schemas.microsoft.com/office/drawing/2014/main" id="{B9C8C507-D571-4FCB-AE50-6F12C1AD1521}"/>
            </a:ext>
          </a:extLst>
        </xdr:cNvPr>
        <xdr:cNvSpPr>
          <a:spLocks noChangeAspect="1" noChangeArrowheads="1"/>
        </xdr:cNvSpPr>
      </xdr:nvSpPr>
      <xdr:spPr bwMode="auto">
        <a:xfrm>
          <a:off x="1885950" y="2695575"/>
          <a:ext cx="304800" cy="20170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01708"/>
    <xdr:sp macro="" textlink="">
      <xdr:nvSpPr>
        <xdr:cNvPr id="292" name="AutoShape 10" descr="+">
          <a:extLst>
            <a:ext uri="{FF2B5EF4-FFF2-40B4-BE49-F238E27FC236}">
              <a16:creationId xmlns:a16="http://schemas.microsoft.com/office/drawing/2014/main" id="{D7AA8823-6EBE-45CD-8C85-16296CBE867B}"/>
            </a:ext>
          </a:extLst>
        </xdr:cNvPr>
        <xdr:cNvSpPr>
          <a:spLocks noChangeAspect="1" noChangeArrowheads="1"/>
        </xdr:cNvSpPr>
      </xdr:nvSpPr>
      <xdr:spPr bwMode="auto">
        <a:xfrm>
          <a:off x="1885950" y="2695575"/>
          <a:ext cx="304800" cy="20170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92180"/>
    <xdr:sp macro="" textlink="">
      <xdr:nvSpPr>
        <xdr:cNvPr id="293" name="AutoShape 11" descr="+">
          <a:extLst>
            <a:ext uri="{FF2B5EF4-FFF2-40B4-BE49-F238E27FC236}">
              <a16:creationId xmlns:a16="http://schemas.microsoft.com/office/drawing/2014/main" id="{6A55282E-D5E8-4571-9163-C5F949CEEFAE}"/>
            </a:ext>
          </a:extLst>
        </xdr:cNvPr>
        <xdr:cNvSpPr>
          <a:spLocks noChangeAspect="1" noChangeArrowheads="1"/>
        </xdr:cNvSpPr>
      </xdr:nvSpPr>
      <xdr:spPr bwMode="auto">
        <a:xfrm>
          <a:off x="1885950" y="2695575"/>
          <a:ext cx="304800" cy="19218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70548"/>
    <xdr:sp macro="" textlink="">
      <xdr:nvSpPr>
        <xdr:cNvPr id="294" name="AutoShape 12" descr="+">
          <a:extLst>
            <a:ext uri="{FF2B5EF4-FFF2-40B4-BE49-F238E27FC236}">
              <a16:creationId xmlns:a16="http://schemas.microsoft.com/office/drawing/2014/main" id="{5BE43840-372F-40E3-8B95-32EE371394E3}"/>
            </a:ext>
          </a:extLst>
        </xdr:cNvPr>
        <xdr:cNvSpPr>
          <a:spLocks noChangeAspect="1" noChangeArrowheads="1"/>
        </xdr:cNvSpPr>
      </xdr:nvSpPr>
      <xdr:spPr bwMode="auto">
        <a:xfrm>
          <a:off x="1885950" y="2695575"/>
          <a:ext cx="304800" cy="27054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73131"/>
    <xdr:sp macro="" textlink="">
      <xdr:nvSpPr>
        <xdr:cNvPr id="295" name="AutoShape 13" descr="+">
          <a:extLst>
            <a:ext uri="{FF2B5EF4-FFF2-40B4-BE49-F238E27FC236}">
              <a16:creationId xmlns:a16="http://schemas.microsoft.com/office/drawing/2014/main" id="{2AA86D11-79B1-429E-AE61-349DDC77D0A5}"/>
            </a:ext>
          </a:extLst>
        </xdr:cNvPr>
        <xdr:cNvSpPr>
          <a:spLocks noChangeAspect="1" noChangeArrowheads="1"/>
        </xdr:cNvSpPr>
      </xdr:nvSpPr>
      <xdr:spPr bwMode="auto">
        <a:xfrm>
          <a:off x="1885950" y="2695575"/>
          <a:ext cx="304800" cy="1731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01708"/>
    <xdr:sp macro="" textlink="">
      <xdr:nvSpPr>
        <xdr:cNvPr id="296" name="AutoShape 14" descr="+">
          <a:extLst>
            <a:ext uri="{FF2B5EF4-FFF2-40B4-BE49-F238E27FC236}">
              <a16:creationId xmlns:a16="http://schemas.microsoft.com/office/drawing/2014/main" id="{66DEEC65-2208-46D5-98EC-5B0E04500EB1}"/>
            </a:ext>
          </a:extLst>
        </xdr:cNvPr>
        <xdr:cNvSpPr>
          <a:spLocks noChangeAspect="1" noChangeArrowheads="1"/>
        </xdr:cNvSpPr>
      </xdr:nvSpPr>
      <xdr:spPr bwMode="auto">
        <a:xfrm>
          <a:off x="1885950" y="2695575"/>
          <a:ext cx="304800" cy="20170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01705"/>
    <xdr:sp macro="" textlink="">
      <xdr:nvSpPr>
        <xdr:cNvPr id="297" name="AutoShape 15" descr="+">
          <a:extLst>
            <a:ext uri="{FF2B5EF4-FFF2-40B4-BE49-F238E27FC236}">
              <a16:creationId xmlns:a16="http://schemas.microsoft.com/office/drawing/2014/main" id="{98559342-ACC7-4786-BFDD-92DE33AE3F03}"/>
            </a:ext>
          </a:extLst>
        </xdr:cNvPr>
        <xdr:cNvSpPr>
          <a:spLocks noChangeAspect="1" noChangeArrowheads="1"/>
        </xdr:cNvSpPr>
      </xdr:nvSpPr>
      <xdr:spPr bwMode="auto">
        <a:xfrm>
          <a:off x="1885950" y="2695575"/>
          <a:ext cx="304800" cy="20170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91901"/>
    <xdr:sp macro="" textlink="">
      <xdr:nvSpPr>
        <xdr:cNvPr id="298" name="AutoShape 16" descr="+">
          <a:extLst>
            <a:ext uri="{FF2B5EF4-FFF2-40B4-BE49-F238E27FC236}">
              <a16:creationId xmlns:a16="http://schemas.microsoft.com/office/drawing/2014/main" id="{8F296BD1-0669-4B2D-9C8B-74EE0A2CBC81}"/>
            </a:ext>
          </a:extLst>
        </xdr:cNvPr>
        <xdr:cNvSpPr>
          <a:spLocks noChangeAspect="1" noChangeArrowheads="1"/>
        </xdr:cNvSpPr>
      </xdr:nvSpPr>
      <xdr:spPr bwMode="auto">
        <a:xfrm>
          <a:off x="1885950" y="2695575"/>
          <a:ext cx="304800" cy="1919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78133"/>
    <xdr:sp macro="" textlink="">
      <xdr:nvSpPr>
        <xdr:cNvPr id="299" name="AutoShape 17" descr="+">
          <a:extLst>
            <a:ext uri="{FF2B5EF4-FFF2-40B4-BE49-F238E27FC236}">
              <a16:creationId xmlns:a16="http://schemas.microsoft.com/office/drawing/2014/main" id="{B217A801-EFD3-4EED-BCFD-A3CB0D55A78E}"/>
            </a:ext>
          </a:extLst>
        </xdr:cNvPr>
        <xdr:cNvSpPr>
          <a:spLocks noChangeAspect="1" noChangeArrowheads="1"/>
        </xdr:cNvSpPr>
      </xdr:nvSpPr>
      <xdr:spPr bwMode="auto">
        <a:xfrm>
          <a:off x="1885950" y="2695575"/>
          <a:ext cx="304800" cy="17813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78135"/>
    <xdr:sp macro="" textlink="">
      <xdr:nvSpPr>
        <xdr:cNvPr id="300" name="AutoShape 18" descr="+">
          <a:extLst>
            <a:ext uri="{FF2B5EF4-FFF2-40B4-BE49-F238E27FC236}">
              <a16:creationId xmlns:a16="http://schemas.microsoft.com/office/drawing/2014/main" id="{70AF4F13-49C5-4EF4-A2B3-4FCE9B17E601}"/>
            </a:ext>
          </a:extLst>
        </xdr:cNvPr>
        <xdr:cNvSpPr>
          <a:spLocks noChangeAspect="1" noChangeArrowheads="1"/>
        </xdr:cNvSpPr>
      </xdr:nvSpPr>
      <xdr:spPr bwMode="auto">
        <a:xfrm>
          <a:off x="1885950" y="2695575"/>
          <a:ext cx="304800" cy="17813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79535"/>
    <xdr:sp macro="" textlink="">
      <xdr:nvSpPr>
        <xdr:cNvPr id="301" name="AutoShape 19" descr="+">
          <a:extLst>
            <a:ext uri="{FF2B5EF4-FFF2-40B4-BE49-F238E27FC236}">
              <a16:creationId xmlns:a16="http://schemas.microsoft.com/office/drawing/2014/main" id="{1B1FF877-43DA-4F7F-88A0-A35650EC8AE8}"/>
            </a:ext>
          </a:extLst>
        </xdr:cNvPr>
        <xdr:cNvSpPr>
          <a:spLocks noChangeAspect="1" noChangeArrowheads="1"/>
        </xdr:cNvSpPr>
      </xdr:nvSpPr>
      <xdr:spPr bwMode="auto">
        <a:xfrm>
          <a:off x="1885950" y="2695575"/>
          <a:ext cx="304800" cy="17953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78132"/>
    <xdr:sp macro="" textlink="">
      <xdr:nvSpPr>
        <xdr:cNvPr id="302" name="AutoShape 20" descr="+">
          <a:extLst>
            <a:ext uri="{FF2B5EF4-FFF2-40B4-BE49-F238E27FC236}">
              <a16:creationId xmlns:a16="http://schemas.microsoft.com/office/drawing/2014/main" id="{615B8919-F4C9-4EBD-B77C-B9F84E2A81C3}"/>
            </a:ext>
          </a:extLst>
        </xdr:cNvPr>
        <xdr:cNvSpPr>
          <a:spLocks noChangeAspect="1" noChangeArrowheads="1"/>
        </xdr:cNvSpPr>
      </xdr:nvSpPr>
      <xdr:spPr bwMode="auto">
        <a:xfrm>
          <a:off x="1885950" y="2695575"/>
          <a:ext cx="304800" cy="17813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08112"/>
    <xdr:sp macro="" textlink="">
      <xdr:nvSpPr>
        <xdr:cNvPr id="303" name="AutoShape 21" descr="+">
          <a:extLst>
            <a:ext uri="{FF2B5EF4-FFF2-40B4-BE49-F238E27FC236}">
              <a16:creationId xmlns:a16="http://schemas.microsoft.com/office/drawing/2014/main" id="{C9CCA724-EA89-497D-A40A-08E3828E7086}"/>
            </a:ext>
          </a:extLst>
        </xdr:cNvPr>
        <xdr:cNvSpPr>
          <a:spLocks noChangeAspect="1" noChangeArrowheads="1"/>
        </xdr:cNvSpPr>
      </xdr:nvSpPr>
      <xdr:spPr bwMode="auto">
        <a:xfrm>
          <a:off x="1885950" y="2695575"/>
          <a:ext cx="304800" cy="2081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08107"/>
    <xdr:sp macro="" textlink="">
      <xdr:nvSpPr>
        <xdr:cNvPr id="304" name="AutoShape 22" descr="+">
          <a:extLst>
            <a:ext uri="{FF2B5EF4-FFF2-40B4-BE49-F238E27FC236}">
              <a16:creationId xmlns:a16="http://schemas.microsoft.com/office/drawing/2014/main" id="{1FD0088D-2D6F-4718-B09A-4C38EE2C3BAD}"/>
            </a:ext>
          </a:extLst>
        </xdr:cNvPr>
        <xdr:cNvSpPr>
          <a:spLocks noChangeAspect="1" noChangeArrowheads="1"/>
        </xdr:cNvSpPr>
      </xdr:nvSpPr>
      <xdr:spPr bwMode="auto">
        <a:xfrm>
          <a:off x="1885950" y="2695575"/>
          <a:ext cx="304800" cy="20810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08111"/>
    <xdr:sp macro="" textlink="">
      <xdr:nvSpPr>
        <xdr:cNvPr id="305" name="AutoShape 23" descr="+">
          <a:extLst>
            <a:ext uri="{FF2B5EF4-FFF2-40B4-BE49-F238E27FC236}">
              <a16:creationId xmlns:a16="http://schemas.microsoft.com/office/drawing/2014/main" id="{BE1EA1AF-690A-49DA-AEC6-2B4AA289E67A}"/>
            </a:ext>
          </a:extLst>
        </xdr:cNvPr>
        <xdr:cNvSpPr>
          <a:spLocks noChangeAspect="1" noChangeArrowheads="1"/>
        </xdr:cNvSpPr>
      </xdr:nvSpPr>
      <xdr:spPr bwMode="auto">
        <a:xfrm>
          <a:off x="1885950" y="2695575"/>
          <a:ext cx="304800" cy="2081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98584"/>
    <xdr:sp macro="" textlink="">
      <xdr:nvSpPr>
        <xdr:cNvPr id="306" name="AutoShape 24" descr="+">
          <a:extLst>
            <a:ext uri="{FF2B5EF4-FFF2-40B4-BE49-F238E27FC236}">
              <a16:creationId xmlns:a16="http://schemas.microsoft.com/office/drawing/2014/main" id="{097818FB-4B49-426E-8AEB-E6BC0C675F90}"/>
            </a:ext>
          </a:extLst>
        </xdr:cNvPr>
        <xdr:cNvSpPr>
          <a:spLocks noChangeAspect="1" noChangeArrowheads="1"/>
        </xdr:cNvSpPr>
      </xdr:nvSpPr>
      <xdr:spPr bwMode="auto">
        <a:xfrm>
          <a:off x="1885950" y="2695575"/>
          <a:ext cx="304800" cy="19858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08110"/>
    <xdr:sp macro="" textlink="">
      <xdr:nvSpPr>
        <xdr:cNvPr id="307" name="AutoShape 25" descr="+">
          <a:extLst>
            <a:ext uri="{FF2B5EF4-FFF2-40B4-BE49-F238E27FC236}">
              <a16:creationId xmlns:a16="http://schemas.microsoft.com/office/drawing/2014/main" id="{AE90C56B-9AF3-4100-AAE1-21161DFEBFC8}"/>
            </a:ext>
          </a:extLst>
        </xdr:cNvPr>
        <xdr:cNvSpPr>
          <a:spLocks noChangeAspect="1" noChangeArrowheads="1"/>
        </xdr:cNvSpPr>
      </xdr:nvSpPr>
      <xdr:spPr bwMode="auto">
        <a:xfrm>
          <a:off x="1885950" y="2695575"/>
          <a:ext cx="304800" cy="2081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08110"/>
    <xdr:sp macro="" textlink="">
      <xdr:nvSpPr>
        <xdr:cNvPr id="308" name="AutoShape 26" descr="+">
          <a:extLst>
            <a:ext uri="{FF2B5EF4-FFF2-40B4-BE49-F238E27FC236}">
              <a16:creationId xmlns:a16="http://schemas.microsoft.com/office/drawing/2014/main" id="{1BE2BCC6-ACDC-44F6-9DC4-9AC04A879007}"/>
            </a:ext>
          </a:extLst>
        </xdr:cNvPr>
        <xdr:cNvSpPr>
          <a:spLocks noChangeAspect="1" noChangeArrowheads="1"/>
        </xdr:cNvSpPr>
      </xdr:nvSpPr>
      <xdr:spPr bwMode="auto">
        <a:xfrm>
          <a:off x="1885950" y="2695575"/>
          <a:ext cx="304800" cy="2081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79535"/>
    <xdr:sp macro="" textlink="">
      <xdr:nvSpPr>
        <xdr:cNvPr id="309" name="AutoShape 27" descr="+">
          <a:extLst>
            <a:ext uri="{FF2B5EF4-FFF2-40B4-BE49-F238E27FC236}">
              <a16:creationId xmlns:a16="http://schemas.microsoft.com/office/drawing/2014/main" id="{313A0E8E-619E-4737-94EA-86FE65DDA531}"/>
            </a:ext>
          </a:extLst>
        </xdr:cNvPr>
        <xdr:cNvSpPr>
          <a:spLocks noChangeAspect="1" noChangeArrowheads="1"/>
        </xdr:cNvSpPr>
      </xdr:nvSpPr>
      <xdr:spPr bwMode="auto">
        <a:xfrm>
          <a:off x="1885950" y="2695575"/>
          <a:ext cx="304800" cy="17953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08107"/>
    <xdr:sp macro="" textlink="">
      <xdr:nvSpPr>
        <xdr:cNvPr id="310" name="AutoShape 28" descr="+">
          <a:extLst>
            <a:ext uri="{FF2B5EF4-FFF2-40B4-BE49-F238E27FC236}">
              <a16:creationId xmlns:a16="http://schemas.microsoft.com/office/drawing/2014/main" id="{64FBFB58-92D7-4AB7-A996-9826A4DFA5FA}"/>
            </a:ext>
          </a:extLst>
        </xdr:cNvPr>
        <xdr:cNvSpPr>
          <a:spLocks noChangeAspect="1" noChangeArrowheads="1"/>
        </xdr:cNvSpPr>
      </xdr:nvSpPr>
      <xdr:spPr bwMode="auto">
        <a:xfrm>
          <a:off x="1885950" y="2695575"/>
          <a:ext cx="304800" cy="20810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01711"/>
    <xdr:sp macro="" textlink="">
      <xdr:nvSpPr>
        <xdr:cNvPr id="311" name="AutoShape 29" descr="+">
          <a:extLst>
            <a:ext uri="{FF2B5EF4-FFF2-40B4-BE49-F238E27FC236}">
              <a16:creationId xmlns:a16="http://schemas.microsoft.com/office/drawing/2014/main" id="{6803D026-FABA-48F6-8510-58B4C19A63EA}"/>
            </a:ext>
          </a:extLst>
        </xdr:cNvPr>
        <xdr:cNvSpPr>
          <a:spLocks noChangeAspect="1" noChangeArrowheads="1"/>
        </xdr:cNvSpPr>
      </xdr:nvSpPr>
      <xdr:spPr bwMode="auto">
        <a:xfrm>
          <a:off x="1885950" y="2695575"/>
          <a:ext cx="304800" cy="2017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71731"/>
    <xdr:sp macro="" textlink="">
      <xdr:nvSpPr>
        <xdr:cNvPr id="312" name="AutoShape 30" descr="+">
          <a:extLst>
            <a:ext uri="{FF2B5EF4-FFF2-40B4-BE49-F238E27FC236}">
              <a16:creationId xmlns:a16="http://schemas.microsoft.com/office/drawing/2014/main" id="{11CC836C-80B7-471E-86E8-C6FE13CBE7F8}"/>
            </a:ext>
          </a:extLst>
        </xdr:cNvPr>
        <xdr:cNvSpPr>
          <a:spLocks noChangeAspect="1" noChangeArrowheads="1"/>
        </xdr:cNvSpPr>
      </xdr:nvSpPr>
      <xdr:spPr bwMode="auto">
        <a:xfrm>
          <a:off x="1885950" y="2695575"/>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71730"/>
    <xdr:sp macro="" textlink="">
      <xdr:nvSpPr>
        <xdr:cNvPr id="313" name="AutoShape 31" descr="+">
          <a:extLst>
            <a:ext uri="{FF2B5EF4-FFF2-40B4-BE49-F238E27FC236}">
              <a16:creationId xmlns:a16="http://schemas.microsoft.com/office/drawing/2014/main" id="{33F82BDE-6376-41BD-9BAB-580C5EE92A15}"/>
            </a:ext>
          </a:extLst>
        </xdr:cNvPr>
        <xdr:cNvSpPr>
          <a:spLocks noChangeAspect="1" noChangeArrowheads="1"/>
        </xdr:cNvSpPr>
      </xdr:nvSpPr>
      <xdr:spPr bwMode="auto">
        <a:xfrm>
          <a:off x="1885950" y="2695575"/>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0"/>
    <xdr:sp macro="" textlink="">
      <xdr:nvSpPr>
        <xdr:cNvPr id="314" name="AutoShape 32" descr="+">
          <a:extLst>
            <a:ext uri="{FF2B5EF4-FFF2-40B4-BE49-F238E27FC236}">
              <a16:creationId xmlns:a16="http://schemas.microsoft.com/office/drawing/2014/main" id="{FAF5C30C-E779-4B6D-AF24-092A5CF4994E}"/>
            </a:ext>
          </a:extLst>
        </xdr:cNvPr>
        <xdr:cNvSpPr>
          <a:spLocks noChangeAspect="1" noChangeArrowheads="1"/>
        </xdr:cNvSpPr>
      </xdr:nvSpPr>
      <xdr:spPr bwMode="auto">
        <a:xfrm>
          <a:off x="1885950" y="269557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03088"/>
    <xdr:sp macro="" textlink="">
      <xdr:nvSpPr>
        <xdr:cNvPr id="315" name="AutoShape 33" descr="+">
          <a:extLst>
            <a:ext uri="{FF2B5EF4-FFF2-40B4-BE49-F238E27FC236}">
              <a16:creationId xmlns:a16="http://schemas.microsoft.com/office/drawing/2014/main" id="{F6F27BEE-E310-4815-B3F2-BACE9161C213}"/>
            </a:ext>
          </a:extLst>
        </xdr:cNvPr>
        <xdr:cNvSpPr>
          <a:spLocks noChangeAspect="1" noChangeArrowheads="1"/>
        </xdr:cNvSpPr>
      </xdr:nvSpPr>
      <xdr:spPr bwMode="auto">
        <a:xfrm>
          <a:off x="1885950" y="2695575"/>
          <a:ext cx="304800" cy="2030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3"/>
    <xdr:sp macro="" textlink="">
      <xdr:nvSpPr>
        <xdr:cNvPr id="316" name="AutoShape 34" descr="+">
          <a:extLst>
            <a:ext uri="{FF2B5EF4-FFF2-40B4-BE49-F238E27FC236}">
              <a16:creationId xmlns:a16="http://schemas.microsoft.com/office/drawing/2014/main" id="{35D8CE74-C46C-4377-B4E9-37E3560E0508}"/>
            </a:ext>
          </a:extLst>
        </xdr:cNvPr>
        <xdr:cNvSpPr>
          <a:spLocks noChangeAspect="1" noChangeArrowheads="1"/>
        </xdr:cNvSpPr>
      </xdr:nvSpPr>
      <xdr:spPr bwMode="auto">
        <a:xfrm>
          <a:off x="1885950" y="2695575"/>
          <a:ext cx="304800" cy="2105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71731"/>
    <xdr:sp macro="" textlink="">
      <xdr:nvSpPr>
        <xdr:cNvPr id="317" name="AutoShape 52" descr="+">
          <a:extLst>
            <a:ext uri="{FF2B5EF4-FFF2-40B4-BE49-F238E27FC236}">
              <a16:creationId xmlns:a16="http://schemas.microsoft.com/office/drawing/2014/main" id="{67EB8574-219B-4F20-8446-75EB0CBCB0EE}"/>
            </a:ext>
          </a:extLst>
        </xdr:cNvPr>
        <xdr:cNvSpPr>
          <a:spLocks noChangeAspect="1" noChangeArrowheads="1"/>
        </xdr:cNvSpPr>
      </xdr:nvSpPr>
      <xdr:spPr bwMode="auto">
        <a:xfrm>
          <a:off x="1885950" y="2695575"/>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71730"/>
    <xdr:sp macro="" textlink="">
      <xdr:nvSpPr>
        <xdr:cNvPr id="318" name="AutoShape 53" descr="+">
          <a:extLst>
            <a:ext uri="{FF2B5EF4-FFF2-40B4-BE49-F238E27FC236}">
              <a16:creationId xmlns:a16="http://schemas.microsoft.com/office/drawing/2014/main" id="{4E32CCEE-09C1-4435-A0B1-CFD416046E15}"/>
            </a:ext>
          </a:extLst>
        </xdr:cNvPr>
        <xdr:cNvSpPr>
          <a:spLocks noChangeAspect="1" noChangeArrowheads="1"/>
        </xdr:cNvSpPr>
      </xdr:nvSpPr>
      <xdr:spPr bwMode="auto">
        <a:xfrm>
          <a:off x="1885950" y="2695575"/>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86698"/>
    <xdr:sp macro="" textlink="">
      <xdr:nvSpPr>
        <xdr:cNvPr id="319" name="AutoShape 54" descr="+">
          <a:extLst>
            <a:ext uri="{FF2B5EF4-FFF2-40B4-BE49-F238E27FC236}">
              <a16:creationId xmlns:a16="http://schemas.microsoft.com/office/drawing/2014/main" id="{CF71B1EE-2051-4A04-9B93-3AF5B5DDCA6C}"/>
            </a:ext>
          </a:extLst>
        </xdr:cNvPr>
        <xdr:cNvSpPr>
          <a:spLocks noChangeAspect="1" noChangeArrowheads="1"/>
        </xdr:cNvSpPr>
      </xdr:nvSpPr>
      <xdr:spPr bwMode="auto">
        <a:xfrm>
          <a:off x="1885950" y="2695575"/>
          <a:ext cx="304800" cy="18669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71731"/>
    <xdr:sp macro="" textlink="">
      <xdr:nvSpPr>
        <xdr:cNvPr id="320" name="AutoShape 55" descr="+">
          <a:extLst>
            <a:ext uri="{FF2B5EF4-FFF2-40B4-BE49-F238E27FC236}">
              <a16:creationId xmlns:a16="http://schemas.microsoft.com/office/drawing/2014/main" id="{5C744ECB-5D45-4734-B67A-294460259BFA}"/>
            </a:ext>
          </a:extLst>
        </xdr:cNvPr>
        <xdr:cNvSpPr>
          <a:spLocks noChangeAspect="1" noChangeArrowheads="1"/>
        </xdr:cNvSpPr>
      </xdr:nvSpPr>
      <xdr:spPr bwMode="auto">
        <a:xfrm>
          <a:off x="1885950" y="2695575"/>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1"/>
    <xdr:sp macro="" textlink="">
      <xdr:nvSpPr>
        <xdr:cNvPr id="321" name="AutoShape 56" descr="+">
          <a:extLst>
            <a:ext uri="{FF2B5EF4-FFF2-40B4-BE49-F238E27FC236}">
              <a16:creationId xmlns:a16="http://schemas.microsoft.com/office/drawing/2014/main" id="{D5A0EEF4-F985-4B3C-A8F8-3788F9E09920}"/>
            </a:ext>
          </a:extLst>
        </xdr:cNvPr>
        <xdr:cNvSpPr>
          <a:spLocks noChangeAspect="1" noChangeArrowheads="1"/>
        </xdr:cNvSpPr>
      </xdr:nvSpPr>
      <xdr:spPr bwMode="auto">
        <a:xfrm>
          <a:off x="1885950" y="269557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09"/>
    <xdr:sp macro="" textlink="">
      <xdr:nvSpPr>
        <xdr:cNvPr id="322" name="AutoShape 57" descr="+">
          <a:extLst>
            <a:ext uri="{FF2B5EF4-FFF2-40B4-BE49-F238E27FC236}">
              <a16:creationId xmlns:a16="http://schemas.microsoft.com/office/drawing/2014/main" id="{0B928C3E-BFB6-400C-8F8C-DBCD15C3D119}"/>
            </a:ext>
          </a:extLst>
        </xdr:cNvPr>
        <xdr:cNvSpPr>
          <a:spLocks noChangeAspect="1" noChangeArrowheads="1"/>
        </xdr:cNvSpPr>
      </xdr:nvSpPr>
      <xdr:spPr bwMode="auto">
        <a:xfrm>
          <a:off x="1885950" y="2695575"/>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2"/>
    <xdr:sp macro="" textlink="">
      <xdr:nvSpPr>
        <xdr:cNvPr id="323" name="AutoShape 58" descr="+">
          <a:extLst>
            <a:ext uri="{FF2B5EF4-FFF2-40B4-BE49-F238E27FC236}">
              <a16:creationId xmlns:a16="http://schemas.microsoft.com/office/drawing/2014/main" id="{BD848346-7922-44F6-AA6E-86832470E615}"/>
            </a:ext>
          </a:extLst>
        </xdr:cNvPr>
        <xdr:cNvSpPr>
          <a:spLocks noChangeAspect="1" noChangeArrowheads="1"/>
        </xdr:cNvSpPr>
      </xdr:nvSpPr>
      <xdr:spPr bwMode="auto">
        <a:xfrm>
          <a:off x="1885950" y="2695575"/>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1"/>
    <xdr:sp macro="" textlink="">
      <xdr:nvSpPr>
        <xdr:cNvPr id="324" name="AutoShape 59" descr="+">
          <a:extLst>
            <a:ext uri="{FF2B5EF4-FFF2-40B4-BE49-F238E27FC236}">
              <a16:creationId xmlns:a16="http://schemas.microsoft.com/office/drawing/2014/main" id="{DE1DDB2F-4BEA-4E36-BE08-04FB796922DB}"/>
            </a:ext>
          </a:extLst>
        </xdr:cNvPr>
        <xdr:cNvSpPr>
          <a:spLocks noChangeAspect="1" noChangeArrowheads="1"/>
        </xdr:cNvSpPr>
      </xdr:nvSpPr>
      <xdr:spPr bwMode="auto">
        <a:xfrm>
          <a:off x="1885950" y="2695575"/>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81937"/>
    <xdr:sp macro="" textlink="">
      <xdr:nvSpPr>
        <xdr:cNvPr id="325" name="AutoShape 60" descr="+">
          <a:extLst>
            <a:ext uri="{FF2B5EF4-FFF2-40B4-BE49-F238E27FC236}">
              <a16:creationId xmlns:a16="http://schemas.microsoft.com/office/drawing/2014/main" id="{26D2424B-FB4E-4814-8949-3CC19A4283AD}"/>
            </a:ext>
          </a:extLst>
        </xdr:cNvPr>
        <xdr:cNvSpPr>
          <a:spLocks noChangeAspect="1" noChangeArrowheads="1"/>
        </xdr:cNvSpPr>
      </xdr:nvSpPr>
      <xdr:spPr bwMode="auto">
        <a:xfrm>
          <a:off x="1885950" y="2695575"/>
          <a:ext cx="304800" cy="18193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0"/>
    <xdr:sp macro="" textlink="">
      <xdr:nvSpPr>
        <xdr:cNvPr id="326" name="AutoShape 61" descr="+">
          <a:extLst>
            <a:ext uri="{FF2B5EF4-FFF2-40B4-BE49-F238E27FC236}">
              <a16:creationId xmlns:a16="http://schemas.microsoft.com/office/drawing/2014/main" id="{CAD482E6-2516-4799-BC75-E59EF146BC36}"/>
            </a:ext>
          </a:extLst>
        </xdr:cNvPr>
        <xdr:cNvSpPr>
          <a:spLocks noChangeAspect="1" noChangeArrowheads="1"/>
        </xdr:cNvSpPr>
      </xdr:nvSpPr>
      <xdr:spPr bwMode="auto">
        <a:xfrm>
          <a:off x="1885950" y="269557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1"/>
    <xdr:sp macro="" textlink="">
      <xdr:nvSpPr>
        <xdr:cNvPr id="327" name="AutoShape 62" descr="+">
          <a:extLst>
            <a:ext uri="{FF2B5EF4-FFF2-40B4-BE49-F238E27FC236}">
              <a16:creationId xmlns:a16="http://schemas.microsoft.com/office/drawing/2014/main" id="{663C2A07-9E4A-4142-B96F-A4E703E7A5A7}"/>
            </a:ext>
          </a:extLst>
        </xdr:cNvPr>
        <xdr:cNvSpPr>
          <a:spLocks noChangeAspect="1" noChangeArrowheads="1"/>
        </xdr:cNvSpPr>
      </xdr:nvSpPr>
      <xdr:spPr bwMode="auto">
        <a:xfrm>
          <a:off x="1885950" y="269557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1"/>
    <xdr:sp macro="" textlink="">
      <xdr:nvSpPr>
        <xdr:cNvPr id="328" name="AutoShape 63" descr="+">
          <a:extLst>
            <a:ext uri="{FF2B5EF4-FFF2-40B4-BE49-F238E27FC236}">
              <a16:creationId xmlns:a16="http://schemas.microsoft.com/office/drawing/2014/main" id="{EF65175A-F8EB-4F8E-903C-733FE4C496BB}"/>
            </a:ext>
          </a:extLst>
        </xdr:cNvPr>
        <xdr:cNvSpPr>
          <a:spLocks noChangeAspect="1" noChangeArrowheads="1"/>
        </xdr:cNvSpPr>
      </xdr:nvSpPr>
      <xdr:spPr bwMode="auto">
        <a:xfrm>
          <a:off x="1885950" y="269557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2"/>
    <xdr:sp macro="" textlink="">
      <xdr:nvSpPr>
        <xdr:cNvPr id="329" name="AutoShape 64" descr="+">
          <a:extLst>
            <a:ext uri="{FF2B5EF4-FFF2-40B4-BE49-F238E27FC236}">
              <a16:creationId xmlns:a16="http://schemas.microsoft.com/office/drawing/2014/main" id="{E66E5A5A-1B9B-413B-AF72-A06A900B99B1}"/>
            </a:ext>
          </a:extLst>
        </xdr:cNvPr>
        <xdr:cNvSpPr>
          <a:spLocks noChangeAspect="1" noChangeArrowheads="1"/>
        </xdr:cNvSpPr>
      </xdr:nvSpPr>
      <xdr:spPr bwMode="auto">
        <a:xfrm>
          <a:off x="1885950" y="2695575"/>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86696"/>
    <xdr:sp macro="" textlink="">
      <xdr:nvSpPr>
        <xdr:cNvPr id="330" name="AutoShape 65" descr="+">
          <a:extLst>
            <a:ext uri="{FF2B5EF4-FFF2-40B4-BE49-F238E27FC236}">
              <a16:creationId xmlns:a16="http://schemas.microsoft.com/office/drawing/2014/main" id="{E59C9B66-791F-44CC-AE1F-5FA7DC368078}"/>
            </a:ext>
          </a:extLst>
        </xdr:cNvPr>
        <xdr:cNvSpPr>
          <a:spLocks noChangeAspect="1" noChangeArrowheads="1"/>
        </xdr:cNvSpPr>
      </xdr:nvSpPr>
      <xdr:spPr bwMode="auto">
        <a:xfrm>
          <a:off x="1885950" y="2695575"/>
          <a:ext cx="304800" cy="18669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2"/>
    <xdr:sp macro="" textlink="">
      <xdr:nvSpPr>
        <xdr:cNvPr id="331" name="AutoShape 66" descr="+">
          <a:extLst>
            <a:ext uri="{FF2B5EF4-FFF2-40B4-BE49-F238E27FC236}">
              <a16:creationId xmlns:a16="http://schemas.microsoft.com/office/drawing/2014/main" id="{4308D8C9-301E-4F86-8C71-562C56E9DB3C}"/>
            </a:ext>
          </a:extLst>
        </xdr:cNvPr>
        <xdr:cNvSpPr>
          <a:spLocks noChangeAspect="1" noChangeArrowheads="1"/>
        </xdr:cNvSpPr>
      </xdr:nvSpPr>
      <xdr:spPr bwMode="auto">
        <a:xfrm>
          <a:off x="1885950" y="2695575"/>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04108"/>
    <xdr:sp macro="" textlink="">
      <xdr:nvSpPr>
        <xdr:cNvPr id="332" name="AutoShape 67" descr="+">
          <a:extLst>
            <a:ext uri="{FF2B5EF4-FFF2-40B4-BE49-F238E27FC236}">
              <a16:creationId xmlns:a16="http://schemas.microsoft.com/office/drawing/2014/main" id="{EFD5FDAC-439C-440F-89EC-2AD8089FD7B4}"/>
            </a:ext>
          </a:extLst>
        </xdr:cNvPr>
        <xdr:cNvSpPr>
          <a:spLocks noChangeAspect="1" noChangeArrowheads="1"/>
        </xdr:cNvSpPr>
      </xdr:nvSpPr>
      <xdr:spPr bwMode="auto">
        <a:xfrm>
          <a:off x="1885950" y="2695575"/>
          <a:ext cx="304800" cy="20410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04108"/>
    <xdr:sp macro="" textlink="">
      <xdr:nvSpPr>
        <xdr:cNvPr id="333" name="AutoShape 68" descr="+">
          <a:extLst>
            <a:ext uri="{FF2B5EF4-FFF2-40B4-BE49-F238E27FC236}">
              <a16:creationId xmlns:a16="http://schemas.microsoft.com/office/drawing/2014/main" id="{87F1DF96-E8BA-401D-9B64-32A348617663}"/>
            </a:ext>
          </a:extLst>
        </xdr:cNvPr>
        <xdr:cNvSpPr>
          <a:spLocks noChangeAspect="1" noChangeArrowheads="1"/>
        </xdr:cNvSpPr>
      </xdr:nvSpPr>
      <xdr:spPr bwMode="auto">
        <a:xfrm>
          <a:off x="1885950" y="2695575"/>
          <a:ext cx="304800" cy="20410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71731"/>
    <xdr:sp macro="" textlink="">
      <xdr:nvSpPr>
        <xdr:cNvPr id="334" name="AutoShape 69" descr="+">
          <a:extLst>
            <a:ext uri="{FF2B5EF4-FFF2-40B4-BE49-F238E27FC236}">
              <a16:creationId xmlns:a16="http://schemas.microsoft.com/office/drawing/2014/main" id="{AA1DBF0E-2865-4E84-B083-DF36FA8BF4E7}"/>
            </a:ext>
          </a:extLst>
        </xdr:cNvPr>
        <xdr:cNvSpPr>
          <a:spLocks noChangeAspect="1" noChangeArrowheads="1"/>
        </xdr:cNvSpPr>
      </xdr:nvSpPr>
      <xdr:spPr bwMode="auto">
        <a:xfrm>
          <a:off x="1885950" y="2695575"/>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76492"/>
    <xdr:sp macro="" textlink="">
      <xdr:nvSpPr>
        <xdr:cNvPr id="335" name="AutoShape 70" descr="+">
          <a:extLst>
            <a:ext uri="{FF2B5EF4-FFF2-40B4-BE49-F238E27FC236}">
              <a16:creationId xmlns:a16="http://schemas.microsoft.com/office/drawing/2014/main" id="{7C5E6411-94F7-4E1E-9460-3E8C4A12A24A}"/>
            </a:ext>
          </a:extLst>
        </xdr:cNvPr>
        <xdr:cNvSpPr>
          <a:spLocks noChangeAspect="1" noChangeArrowheads="1"/>
        </xdr:cNvSpPr>
      </xdr:nvSpPr>
      <xdr:spPr bwMode="auto">
        <a:xfrm>
          <a:off x="1885950" y="2695575"/>
          <a:ext cx="304800" cy="1764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71732"/>
    <xdr:sp macro="" textlink="">
      <xdr:nvSpPr>
        <xdr:cNvPr id="336" name="AutoShape 71" descr="+">
          <a:extLst>
            <a:ext uri="{FF2B5EF4-FFF2-40B4-BE49-F238E27FC236}">
              <a16:creationId xmlns:a16="http://schemas.microsoft.com/office/drawing/2014/main" id="{B494484C-B631-4967-BE1F-476ADC89A00A}"/>
            </a:ext>
          </a:extLst>
        </xdr:cNvPr>
        <xdr:cNvSpPr>
          <a:spLocks noChangeAspect="1" noChangeArrowheads="1"/>
        </xdr:cNvSpPr>
      </xdr:nvSpPr>
      <xdr:spPr bwMode="auto">
        <a:xfrm>
          <a:off x="1885950" y="2695575"/>
          <a:ext cx="304800" cy="17173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09"/>
    <xdr:sp macro="" textlink="">
      <xdr:nvSpPr>
        <xdr:cNvPr id="337" name="AutoShape 72" descr="+">
          <a:extLst>
            <a:ext uri="{FF2B5EF4-FFF2-40B4-BE49-F238E27FC236}">
              <a16:creationId xmlns:a16="http://schemas.microsoft.com/office/drawing/2014/main" id="{FD4E3FE5-229D-445D-843C-E658F8598156}"/>
            </a:ext>
          </a:extLst>
        </xdr:cNvPr>
        <xdr:cNvSpPr>
          <a:spLocks noChangeAspect="1" noChangeArrowheads="1"/>
        </xdr:cNvSpPr>
      </xdr:nvSpPr>
      <xdr:spPr bwMode="auto">
        <a:xfrm>
          <a:off x="1885950" y="2695575"/>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2"/>
    <xdr:sp macro="" textlink="">
      <xdr:nvSpPr>
        <xdr:cNvPr id="338" name="AutoShape 73" descr="+">
          <a:extLst>
            <a:ext uri="{FF2B5EF4-FFF2-40B4-BE49-F238E27FC236}">
              <a16:creationId xmlns:a16="http://schemas.microsoft.com/office/drawing/2014/main" id="{9A4C9C3F-A6A8-49C3-9739-FEE3C96237E4}"/>
            </a:ext>
          </a:extLst>
        </xdr:cNvPr>
        <xdr:cNvSpPr>
          <a:spLocks noChangeAspect="1" noChangeArrowheads="1"/>
        </xdr:cNvSpPr>
      </xdr:nvSpPr>
      <xdr:spPr bwMode="auto">
        <a:xfrm>
          <a:off x="1885950" y="2695575"/>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0"/>
    <xdr:sp macro="" textlink="">
      <xdr:nvSpPr>
        <xdr:cNvPr id="339" name="AutoShape 74" descr="+">
          <a:extLst>
            <a:ext uri="{FF2B5EF4-FFF2-40B4-BE49-F238E27FC236}">
              <a16:creationId xmlns:a16="http://schemas.microsoft.com/office/drawing/2014/main" id="{674177CD-CD5F-4CFB-9249-39808B257E7B}"/>
            </a:ext>
          </a:extLst>
        </xdr:cNvPr>
        <xdr:cNvSpPr>
          <a:spLocks noChangeAspect="1" noChangeArrowheads="1"/>
        </xdr:cNvSpPr>
      </xdr:nvSpPr>
      <xdr:spPr bwMode="auto">
        <a:xfrm>
          <a:off x="1885950" y="269557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2"/>
    <xdr:sp macro="" textlink="">
      <xdr:nvSpPr>
        <xdr:cNvPr id="340" name="AutoShape 75" descr="+">
          <a:extLst>
            <a:ext uri="{FF2B5EF4-FFF2-40B4-BE49-F238E27FC236}">
              <a16:creationId xmlns:a16="http://schemas.microsoft.com/office/drawing/2014/main" id="{38A265C0-2151-49BE-9363-D080B4AA0DA2}"/>
            </a:ext>
          </a:extLst>
        </xdr:cNvPr>
        <xdr:cNvSpPr>
          <a:spLocks noChangeAspect="1" noChangeArrowheads="1"/>
        </xdr:cNvSpPr>
      </xdr:nvSpPr>
      <xdr:spPr bwMode="auto">
        <a:xfrm>
          <a:off x="1885950" y="2695575"/>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09"/>
    <xdr:sp macro="" textlink="">
      <xdr:nvSpPr>
        <xdr:cNvPr id="341" name="AutoShape 76" descr="+">
          <a:extLst>
            <a:ext uri="{FF2B5EF4-FFF2-40B4-BE49-F238E27FC236}">
              <a16:creationId xmlns:a16="http://schemas.microsoft.com/office/drawing/2014/main" id="{09206491-1617-4860-B33A-28DD811B4BAF}"/>
            </a:ext>
          </a:extLst>
        </xdr:cNvPr>
        <xdr:cNvSpPr>
          <a:spLocks noChangeAspect="1" noChangeArrowheads="1"/>
        </xdr:cNvSpPr>
      </xdr:nvSpPr>
      <xdr:spPr bwMode="auto">
        <a:xfrm>
          <a:off x="1885950" y="2695575"/>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1"/>
    <xdr:sp macro="" textlink="">
      <xdr:nvSpPr>
        <xdr:cNvPr id="342" name="AutoShape 77" descr="+">
          <a:extLst>
            <a:ext uri="{FF2B5EF4-FFF2-40B4-BE49-F238E27FC236}">
              <a16:creationId xmlns:a16="http://schemas.microsoft.com/office/drawing/2014/main" id="{C43986AA-70B1-4930-895F-B76C7A09078C}"/>
            </a:ext>
          </a:extLst>
        </xdr:cNvPr>
        <xdr:cNvSpPr>
          <a:spLocks noChangeAspect="1" noChangeArrowheads="1"/>
        </xdr:cNvSpPr>
      </xdr:nvSpPr>
      <xdr:spPr bwMode="auto">
        <a:xfrm>
          <a:off x="1885950" y="269557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09"/>
    <xdr:sp macro="" textlink="">
      <xdr:nvSpPr>
        <xdr:cNvPr id="343" name="AutoShape 78" descr="+">
          <a:extLst>
            <a:ext uri="{FF2B5EF4-FFF2-40B4-BE49-F238E27FC236}">
              <a16:creationId xmlns:a16="http://schemas.microsoft.com/office/drawing/2014/main" id="{73FE6CDD-57A6-4E53-A3E6-3EADB6713279}"/>
            </a:ext>
          </a:extLst>
        </xdr:cNvPr>
        <xdr:cNvSpPr>
          <a:spLocks noChangeAspect="1" noChangeArrowheads="1"/>
        </xdr:cNvSpPr>
      </xdr:nvSpPr>
      <xdr:spPr bwMode="auto">
        <a:xfrm>
          <a:off x="1885950" y="2695575"/>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66689"/>
    <xdr:sp macro="" textlink="">
      <xdr:nvSpPr>
        <xdr:cNvPr id="344" name="AutoShape 79" descr="+">
          <a:extLst>
            <a:ext uri="{FF2B5EF4-FFF2-40B4-BE49-F238E27FC236}">
              <a16:creationId xmlns:a16="http://schemas.microsoft.com/office/drawing/2014/main" id="{E4C0776C-48C3-46F8-A565-2061EF05E350}"/>
            </a:ext>
          </a:extLst>
        </xdr:cNvPr>
        <xdr:cNvSpPr>
          <a:spLocks noChangeAspect="1" noChangeArrowheads="1"/>
        </xdr:cNvSpPr>
      </xdr:nvSpPr>
      <xdr:spPr bwMode="auto">
        <a:xfrm>
          <a:off x="1885950" y="2695575"/>
          <a:ext cx="304800" cy="1666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66688"/>
    <xdr:sp macro="" textlink="">
      <xdr:nvSpPr>
        <xdr:cNvPr id="345" name="AutoShape 80" descr="+">
          <a:extLst>
            <a:ext uri="{FF2B5EF4-FFF2-40B4-BE49-F238E27FC236}">
              <a16:creationId xmlns:a16="http://schemas.microsoft.com/office/drawing/2014/main" id="{04E7B708-C8F5-475D-B4BF-66603E214055}"/>
            </a:ext>
          </a:extLst>
        </xdr:cNvPr>
        <xdr:cNvSpPr>
          <a:spLocks noChangeAspect="1" noChangeArrowheads="1"/>
        </xdr:cNvSpPr>
      </xdr:nvSpPr>
      <xdr:spPr bwMode="auto">
        <a:xfrm>
          <a:off x="1885950" y="2695575"/>
          <a:ext cx="304800" cy="1666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81655"/>
    <xdr:sp macro="" textlink="">
      <xdr:nvSpPr>
        <xdr:cNvPr id="346" name="AutoShape 81" descr="+">
          <a:extLst>
            <a:ext uri="{FF2B5EF4-FFF2-40B4-BE49-F238E27FC236}">
              <a16:creationId xmlns:a16="http://schemas.microsoft.com/office/drawing/2014/main" id="{F7883AFD-5BEE-48D3-A1FA-47D931DD82D9}"/>
            </a:ext>
          </a:extLst>
        </xdr:cNvPr>
        <xdr:cNvSpPr>
          <a:spLocks noChangeAspect="1" noChangeArrowheads="1"/>
        </xdr:cNvSpPr>
      </xdr:nvSpPr>
      <xdr:spPr bwMode="auto">
        <a:xfrm>
          <a:off x="1885950" y="2695575"/>
          <a:ext cx="304800" cy="18165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66688"/>
    <xdr:sp macro="" textlink="">
      <xdr:nvSpPr>
        <xdr:cNvPr id="347" name="AutoShape 82" descr="+">
          <a:extLst>
            <a:ext uri="{FF2B5EF4-FFF2-40B4-BE49-F238E27FC236}">
              <a16:creationId xmlns:a16="http://schemas.microsoft.com/office/drawing/2014/main" id="{D8021EF5-FD4C-48D8-BEAD-CBB141CE7AAD}"/>
            </a:ext>
          </a:extLst>
        </xdr:cNvPr>
        <xdr:cNvSpPr>
          <a:spLocks noChangeAspect="1" noChangeArrowheads="1"/>
        </xdr:cNvSpPr>
      </xdr:nvSpPr>
      <xdr:spPr bwMode="auto">
        <a:xfrm>
          <a:off x="1885950" y="2695575"/>
          <a:ext cx="304800" cy="1666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05471"/>
    <xdr:sp macro="" textlink="">
      <xdr:nvSpPr>
        <xdr:cNvPr id="348" name="AutoShape 83" descr="+">
          <a:extLst>
            <a:ext uri="{FF2B5EF4-FFF2-40B4-BE49-F238E27FC236}">
              <a16:creationId xmlns:a16="http://schemas.microsoft.com/office/drawing/2014/main" id="{651D906A-6133-4B0A-97D4-8E1494B860EA}"/>
            </a:ext>
          </a:extLst>
        </xdr:cNvPr>
        <xdr:cNvSpPr>
          <a:spLocks noChangeAspect="1" noChangeArrowheads="1"/>
        </xdr:cNvSpPr>
      </xdr:nvSpPr>
      <xdr:spPr bwMode="auto">
        <a:xfrm>
          <a:off x="1885950" y="2695575"/>
          <a:ext cx="304800" cy="2054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05469"/>
    <xdr:sp macro="" textlink="">
      <xdr:nvSpPr>
        <xdr:cNvPr id="349" name="AutoShape 84" descr="+">
          <a:extLst>
            <a:ext uri="{FF2B5EF4-FFF2-40B4-BE49-F238E27FC236}">
              <a16:creationId xmlns:a16="http://schemas.microsoft.com/office/drawing/2014/main" id="{753A6372-4611-438A-86A9-8FFF450799B6}"/>
            </a:ext>
          </a:extLst>
        </xdr:cNvPr>
        <xdr:cNvSpPr>
          <a:spLocks noChangeAspect="1" noChangeArrowheads="1"/>
        </xdr:cNvSpPr>
      </xdr:nvSpPr>
      <xdr:spPr bwMode="auto">
        <a:xfrm>
          <a:off x="1885950" y="2695575"/>
          <a:ext cx="304800" cy="20546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05468"/>
    <xdr:sp macro="" textlink="">
      <xdr:nvSpPr>
        <xdr:cNvPr id="350" name="AutoShape 85" descr="+">
          <a:extLst>
            <a:ext uri="{FF2B5EF4-FFF2-40B4-BE49-F238E27FC236}">
              <a16:creationId xmlns:a16="http://schemas.microsoft.com/office/drawing/2014/main" id="{002A0FCF-EBFC-484B-9018-994AF8E92F4B}"/>
            </a:ext>
          </a:extLst>
        </xdr:cNvPr>
        <xdr:cNvSpPr>
          <a:spLocks noChangeAspect="1" noChangeArrowheads="1"/>
        </xdr:cNvSpPr>
      </xdr:nvSpPr>
      <xdr:spPr bwMode="auto">
        <a:xfrm>
          <a:off x="1885950" y="2695575"/>
          <a:ext cx="304800" cy="20546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66688"/>
    <xdr:sp macro="" textlink="">
      <xdr:nvSpPr>
        <xdr:cNvPr id="351" name="AutoShape 86" descr="+">
          <a:extLst>
            <a:ext uri="{FF2B5EF4-FFF2-40B4-BE49-F238E27FC236}">
              <a16:creationId xmlns:a16="http://schemas.microsoft.com/office/drawing/2014/main" id="{E09CA149-A122-4D62-99DC-34DC0AD8E7AF}"/>
            </a:ext>
          </a:extLst>
        </xdr:cNvPr>
        <xdr:cNvSpPr>
          <a:spLocks noChangeAspect="1" noChangeArrowheads="1"/>
        </xdr:cNvSpPr>
      </xdr:nvSpPr>
      <xdr:spPr bwMode="auto">
        <a:xfrm>
          <a:off x="1885950" y="2695575"/>
          <a:ext cx="304800" cy="1666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05469"/>
    <xdr:sp macro="" textlink="">
      <xdr:nvSpPr>
        <xdr:cNvPr id="352" name="AutoShape 87" descr="+">
          <a:extLst>
            <a:ext uri="{FF2B5EF4-FFF2-40B4-BE49-F238E27FC236}">
              <a16:creationId xmlns:a16="http://schemas.microsoft.com/office/drawing/2014/main" id="{B9A3B396-764A-4D0E-9A65-DAB998B7DD6F}"/>
            </a:ext>
          </a:extLst>
        </xdr:cNvPr>
        <xdr:cNvSpPr>
          <a:spLocks noChangeAspect="1" noChangeArrowheads="1"/>
        </xdr:cNvSpPr>
      </xdr:nvSpPr>
      <xdr:spPr bwMode="auto">
        <a:xfrm>
          <a:off x="1885950" y="2695575"/>
          <a:ext cx="304800" cy="20546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05469"/>
    <xdr:sp macro="" textlink="">
      <xdr:nvSpPr>
        <xdr:cNvPr id="353" name="AutoShape 88" descr="+">
          <a:extLst>
            <a:ext uri="{FF2B5EF4-FFF2-40B4-BE49-F238E27FC236}">
              <a16:creationId xmlns:a16="http://schemas.microsoft.com/office/drawing/2014/main" id="{EE237187-09A4-4DD1-96BC-C5AA60B3125D}"/>
            </a:ext>
          </a:extLst>
        </xdr:cNvPr>
        <xdr:cNvSpPr>
          <a:spLocks noChangeAspect="1" noChangeArrowheads="1"/>
        </xdr:cNvSpPr>
      </xdr:nvSpPr>
      <xdr:spPr bwMode="auto">
        <a:xfrm>
          <a:off x="1885950" y="2695575"/>
          <a:ext cx="304800" cy="20546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05470"/>
    <xdr:sp macro="" textlink="">
      <xdr:nvSpPr>
        <xdr:cNvPr id="354" name="AutoShape 89" descr="+">
          <a:extLst>
            <a:ext uri="{FF2B5EF4-FFF2-40B4-BE49-F238E27FC236}">
              <a16:creationId xmlns:a16="http://schemas.microsoft.com/office/drawing/2014/main" id="{F663E275-2A33-4598-AF70-120486538CB0}"/>
            </a:ext>
          </a:extLst>
        </xdr:cNvPr>
        <xdr:cNvSpPr>
          <a:spLocks noChangeAspect="1" noChangeArrowheads="1"/>
        </xdr:cNvSpPr>
      </xdr:nvSpPr>
      <xdr:spPr bwMode="auto">
        <a:xfrm>
          <a:off x="1885950" y="2695575"/>
          <a:ext cx="304800" cy="2054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05467"/>
    <xdr:sp macro="" textlink="">
      <xdr:nvSpPr>
        <xdr:cNvPr id="355" name="AutoShape 90" descr="+">
          <a:extLst>
            <a:ext uri="{FF2B5EF4-FFF2-40B4-BE49-F238E27FC236}">
              <a16:creationId xmlns:a16="http://schemas.microsoft.com/office/drawing/2014/main" id="{87E04083-1CEE-4693-B980-4B4AF136B75E}"/>
            </a:ext>
          </a:extLst>
        </xdr:cNvPr>
        <xdr:cNvSpPr>
          <a:spLocks noChangeAspect="1" noChangeArrowheads="1"/>
        </xdr:cNvSpPr>
      </xdr:nvSpPr>
      <xdr:spPr bwMode="auto">
        <a:xfrm>
          <a:off x="1885950" y="2695575"/>
          <a:ext cx="304800" cy="20546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7044"/>
    <xdr:sp macro="" textlink="">
      <xdr:nvSpPr>
        <xdr:cNvPr id="356" name="AutoShape 91" descr="+">
          <a:extLst>
            <a:ext uri="{FF2B5EF4-FFF2-40B4-BE49-F238E27FC236}">
              <a16:creationId xmlns:a16="http://schemas.microsoft.com/office/drawing/2014/main" id="{DD2FB71B-2254-4F84-8403-8B6B2739041F}"/>
            </a:ext>
          </a:extLst>
        </xdr:cNvPr>
        <xdr:cNvSpPr>
          <a:spLocks noChangeAspect="1" noChangeArrowheads="1"/>
        </xdr:cNvSpPr>
      </xdr:nvSpPr>
      <xdr:spPr bwMode="auto">
        <a:xfrm>
          <a:off x="1885950" y="2695575"/>
          <a:ext cx="304800" cy="30704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71450"/>
    <xdr:sp macro="" textlink="">
      <xdr:nvSpPr>
        <xdr:cNvPr id="357" name="AutoShape 92" descr="+">
          <a:extLst>
            <a:ext uri="{FF2B5EF4-FFF2-40B4-BE49-F238E27FC236}">
              <a16:creationId xmlns:a16="http://schemas.microsoft.com/office/drawing/2014/main" id="{3FBC3A17-E7EF-49EB-ADCF-D17C245314D3}"/>
            </a:ext>
          </a:extLst>
        </xdr:cNvPr>
        <xdr:cNvSpPr>
          <a:spLocks noChangeAspect="1" noChangeArrowheads="1"/>
        </xdr:cNvSpPr>
      </xdr:nvSpPr>
      <xdr:spPr bwMode="auto">
        <a:xfrm>
          <a:off x="1885950" y="2695575"/>
          <a:ext cx="304800" cy="171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05470"/>
    <xdr:sp macro="" textlink="">
      <xdr:nvSpPr>
        <xdr:cNvPr id="358" name="AutoShape 93" descr="+">
          <a:extLst>
            <a:ext uri="{FF2B5EF4-FFF2-40B4-BE49-F238E27FC236}">
              <a16:creationId xmlns:a16="http://schemas.microsoft.com/office/drawing/2014/main" id="{8206A730-0DCF-46B7-B546-EDAABC96B926}"/>
            </a:ext>
          </a:extLst>
        </xdr:cNvPr>
        <xdr:cNvSpPr>
          <a:spLocks noChangeAspect="1" noChangeArrowheads="1"/>
        </xdr:cNvSpPr>
      </xdr:nvSpPr>
      <xdr:spPr bwMode="auto">
        <a:xfrm>
          <a:off x="1885950" y="2695575"/>
          <a:ext cx="304800" cy="2054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05470"/>
    <xdr:sp macro="" textlink="">
      <xdr:nvSpPr>
        <xdr:cNvPr id="359" name="AutoShape 94" descr="+">
          <a:extLst>
            <a:ext uri="{FF2B5EF4-FFF2-40B4-BE49-F238E27FC236}">
              <a16:creationId xmlns:a16="http://schemas.microsoft.com/office/drawing/2014/main" id="{ACCFDE0A-24AE-4BF4-8F35-0AE89C8C2443}"/>
            </a:ext>
          </a:extLst>
        </xdr:cNvPr>
        <xdr:cNvSpPr>
          <a:spLocks noChangeAspect="1" noChangeArrowheads="1"/>
        </xdr:cNvSpPr>
      </xdr:nvSpPr>
      <xdr:spPr bwMode="auto">
        <a:xfrm>
          <a:off x="1885950" y="2695575"/>
          <a:ext cx="304800" cy="2054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00708"/>
    <xdr:sp macro="" textlink="">
      <xdr:nvSpPr>
        <xdr:cNvPr id="360" name="AutoShape 95" descr="+">
          <a:extLst>
            <a:ext uri="{FF2B5EF4-FFF2-40B4-BE49-F238E27FC236}">
              <a16:creationId xmlns:a16="http://schemas.microsoft.com/office/drawing/2014/main" id="{4474226C-57DF-4485-99B5-BFF86AF4D128}"/>
            </a:ext>
          </a:extLst>
        </xdr:cNvPr>
        <xdr:cNvSpPr>
          <a:spLocks noChangeAspect="1" noChangeArrowheads="1"/>
        </xdr:cNvSpPr>
      </xdr:nvSpPr>
      <xdr:spPr bwMode="auto">
        <a:xfrm>
          <a:off x="1885950" y="2695575"/>
          <a:ext cx="304800" cy="20070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71730"/>
    <xdr:sp macro="" textlink="">
      <xdr:nvSpPr>
        <xdr:cNvPr id="361" name="AutoShape 96" descr="+">
          <a:extLst>
            <a:ext uri="{FF2B5EF4-FFF2-40B4-BE49-F238E27FC236}">
              <a16:creationId xmlns:a16="http://schemas.microsoft.com/office/drawing/2014/main" id="{B925556F-AED9-4131-AFE0-F9BEA6D117FA}"/>
            </a:ext>
          </a:extLst>
        </xdr:cNvPr>
        <xdr:cNvSpPr>
          <a:spLocks noChangeAspect="1" noChangeArrowheads="1"/>
        </xdr:cNvSpPr>
      </xdr:nvSpPr>
      <xdr:spPr bwMode="auto">
        <a:xfrm>
          <a:off x="1885950" y="2695575"/>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71731"/>
    <xdr:sp macro="" textlink="">
      <xdr:nvSpPr>
        <xdr:cNvPr id="362" name="AutoShape 97" descr="+">
          <a:extLst>
            <a:ext uri="{FF2B5EF4-FFF2-40B4-BE49-F238E27FC236}">
              <a16:creationId xmlns:a16="http://schemas.microsoft.com/office/drawing/2014/main" id="{5F3111ED-DF87-4796-814D-639C669A91F7}"/>
            </a:ext>
          </a:extLst>
        </xdr:cNvPr>
        <xdr:cNvSpPr>
          <a:spLocks noChangeAspect="1" noChangeArrowheads="1"/>
        </xdr:cNvSpPr>
      </xdr:nvSpPr>
      <xdr:spPr bwMode="auto">
        <a:xfrm>
          <a:off x="1885950" y="2695575"/>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76492"/>
    <xdr:sp macro="" textlink="">
      <xdr:nvSpPr>
        <xdr:cNvPr id="363" name="AutoShape 98" descr="+">
          <a:extLst>
            <a:ext uri="{FF2B5EF4-FFF2-40B4-BE49-F238E27FC236}">
              <a16:creationId xmlns:a16="http://schemas.microsoft.com/office/drawing/2014/main" id="{08636D01-908F-41C4-A123-071A36523EC7}"/>
            </a:ext>
          </a:extLst>
        </xdr:cNvPr>
        <xdr:cNvSpPr>
          <a:spLocks noChangeAspect="1" noChangeArrowheads="1"/>
        </xdr:cNvSpPr>
      </xdr:nvSpPr>
      <xdr:spPr bwMode="auto">
        <a:xfrm>
          <a:off x="1885950" y="2695575"/>
          <a:ext cx="304800" cy="1764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3"/>
    <xdr:sp macro="" textlink="">
      <xdr:nvSpPr>
        <xdr:cNvPr id="364" name="AutoShape 99" descr="+">
          <a:extLst>
            <a:ext uri="{FF2B5EF4-FFF2-40B4-BE49-F238E27FC236}">
              <a16:creationId xmlns:a16="http://schemas.microsoft.com/office/drawing/2014/main" id="{E244ABCF-371C-4333-9F87-A918B13F7386}"/>
            </a:ext>
          </a:extLst>
        </xdr:cNvPr>
        <xdr:cNvSpPr>
          <a:spLocks noChangeAspect="1" noChangeArrowheads="1"/>
        </xdr:cNvSpPr>
      </xdr:nvSpPr>
      <xdr:spPr bwMode="auto">
        <a:xfrm>
          <a:off x="1885950" y="2695575"/>
          <a:ext cx="304800" cy="2105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81936"/>
    <xdr:sp macro="" textlink="">
      <xdr:nvSpPr>
        <xdr:cNvPr id="365" name="AutoShape 100" descr="+">
          <a:extLst>
            <a:ext uri="{FF2B5EF4-FFF2-40B4-BE49-F238E27FC236}">
              <a16:creationId xmlns:a16="http://schemas.microsoft.com/office/drawing/2014/main" id="{16EA43DD-73D3-4C56-AF79-422905D5139A}"/>
            </a:ext>
          </a:extLst>
        </xdr:cNvPr>
        <xdr:cNvSpPr>
          <a:spLocks noChangeAspect="1" noChangeArrowheads="1"/>
        </xdr:cNvSpPr>
      </xdr:nvSpPr>
      <xdr:spPr bwMode="auto">
        <a:xfrm>
          <a:off x="1885950" y="2695575"/>
          <a:ext cx="304800" cy="18193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1"/>
    <xdr:sp macro="" textlink="">
      <xdr:nvSpPr>
        <xdr:cNvPr id="366" name="AutoShape 101" descr="+">
          <a:extLst>
            <a:ext uri="{FF2B5EF4-FFF2-40B4-BE49-F238E27FC236}">
              <a16:creationId xmlns:a16="http://schemas.microsoft.com/office/drawing/2014/main" id="{AE1D327F-031E-4EA0-A850-38AC4A355D91}"/>
            </a:ext>
          </a:extLst>
        </xdr:cNvPr>
        <xdr:cNvSpPr>
          <a:spLocks noChangeAspect="1" noChangeArrowheads="1"/>
        </xdr:cNvSpPr>
      </xdr:nvSpPr>
      <xdr:spPr bwMode="auto">
        <a:xfrm>
          <a:off x="1885950" y="269557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09"/>
    <xdr:sp macro="" textlink="">
      <xdr:nvSpPr>
        <xdr:cNvPr id="367" name="AutoShape 102" descr="+">
          <a:extLst>
            <a:ext uri="{FF2B5EF4-FFF2-40B4-BE49-F238E27FC236}">
              <a16:creationId xmlns:a16="http://schemas.microsoft.com/office/drawing/2014/main" id="{9234DEBC-DF40-4344-A8BB-C7C9E63695E0}"/>
            </a:ext>
          </a:extLst>
        </xdr:cNvPr>
        <xdr:cNvSpPr>
          <a:spLocks noChangeAspect="1" noChangeArrowheads="1"/>
        </xdr:cNvSpPr>
      </xdr:nvSpPr>
      <xdr:spPr bwMode="auto">
        <a:xfrm>
          <a:off x="1885950" y="2695575"/>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3"/>
    <xdr:sp macro="" textlink="">
      <xdr:nvSpPr>
        <xdr:cNvPr id="368" name="AutoShape 103" descr="+">
          <a:extLst>
            <a:ext uri="{FF2B5EF4-FFF2-40B4-BE49-F238E27FC236}">
              <a16:creationId xmlns:a16="http://schemas.microsoft.com/office/drawing/2014/main" id="{F26E693B-19DF-44F1-982D-BC8E6748DD80}"/>
            </a:ext>
          </a:extLst>
        </xdr:cNvPr>
        <xdr:cNvSpPr>
          <a:spLocks noChangeAspect="1" noChangeArrowheads="1"/>
        </xdr:cNvSpPr>
      </xdr:nvSpPr>
      <xdr:spPr bwMode="auto">
        <a:xfrm>
          <a:off x="1885950" y="2695575"/>
          <a:ext cx="304800" cy="2105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09"/>
    <xdr:sp macro="" textlink="">
      <xdr:nvSpPr>
        <xdr:cNvPr id="369" name="AutoShape 104" descr="+">
          <a:extLst>
            <a:ext uri="{FF2B5EF4-FFF2-40B4-BE49-F238E27FC236}">
              <a16:creationId xmlns:a16="http://schemas.microsoft.com/office/drawing/2014/main" id="{DBC38D45-35FA-4B5B-B793-30FE21E78DD8}"/>
            </a:ext>
          </a:extLst>
        </xdr:cNvPr>
        <xdr:cNvSpPr>
          <a:spLocks noChangeAspect="1" noChangeArrowheads="1"/>
        </xdr:cNvSpPr>
      </xdr:nvSpPr>
      <xdr:spPr bwMode="auto">
        <a:xfrm>
          <a:off x="1885950" y="2695575"/>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72133"/>
    <xdr:sp macro="" textlink="">
      <xdr:nvSpPr>
        <xdr:cNvPr id="370" name="AutoShape 105" descr="+">
          <a:extLst>
            <a:ext uri="{FF2B5EF4-FFF2-40B4-BE49-F238E27FC236}">
              <a16:creationId xmlns:a16="http://schemas.microsoft.com/office/drawing/2014/main" id="{FB36407F-36D6-402D-B32D-A825E1CDEDB4}"/>
            </a:ext>
          </a:extLst>
        </xdr:cNvPr>
        <xdr:cNvSpPr>
          <a:spLocks noChangeAspect="1" noChangeArrowheads="1"/>
        </xdr:cNvSpPr>
      </xdr:nvSpPr>
      <xdr:spPr bwMode="auto">
        <a:xfrm>
          <a:off x="1885950" y="2695575"/>
          <a:ext cx="304800" cy="17213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00705"/>
    <xdr:sp macro="" textlink="">
      <xdr:nvSpPr>
        <xdr:cNvPr id="371" name="AutoShape 106" descr="+">
          <a:extLst>
            <a:ext uri="{FF2B5EF4-FFF2-40B4-BE49-F238E27FC236}">
              <a16:creationId xmlns:a16="http://schemas.microsoft.com/office/drawing/2014/main" id="{A5383DC8-066F-43AC-A401-2C948B3D2A27}"/>
            </a:ext>
          </a:extLst>
        </xdr:cNvPr>
        <xdr:cNvSpPr>
          <a:spLocks noChangeAspect="1" noChangeArrowheads="1"/>
        </xdr:cNvSpPr>
      </xdr:nvSpPr>
      <xdr:spPr bwMode="auto">
        <a:xfrm>
          <a:off x="1885950" y="2695575"/>
          <a:ext cx="304800" cy="20070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04110"/>
    <xdr:sp macro="" textlink="">
      <xdr:nvSpPr>
        <xdr:cNvPr id="372" name="AutoShape 107" descr="+">
          <a:extLst>
            <a:ext uri="{FF2B5EF4-FFF2-40B4-BE49-F238E27FC236}">
              <a16:creationId xmlns:a16="http://schemas.microsoft.com/office/drawing/2014/main" id="{17D89461-B1F7-43CB-8451-DFC32BDAFF31}"/>
            </a:ext>
          </a:extLst>
        </xdr:cNvPr>
        <xdr:cNvSpPr>
          <a:spLocks noChangeAspect="1" noChangeArrowheads="1"/>
        </xdr:cNvSpPr>
      </xdr:nvSpPr>
      <xdr:spPr bwMode="auto">
        <a:xfrm>
          <a:off x="1885950" y="2695575"/>
          <a:ext cx="304800" cy="2041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71730"/>
    <xdr:sp macro="" textlink="">
      <xdr:nvSpPr>
        <xdr:cNvPr id="373" name="AutoShape 108" descr="+">
          <a:extLst>
            <a:ext uri="{FF2B5EF4-FFF2-40B4-BE49-F238E27FC236}">
              <a16:creationId xmlns:a16="http://schemas.microsoft.com/office/drawing/2014/main" id="{B1CF96E8-93F0-43EE-8F28-6C342DF1DE54}"/>
            </a:ext>
          </a:extLst>
        </xdr:cNvPr>
        <xdr:cNvSpPr>
          <a:spLocks noChangeAspect="1" noChangeArrowheads="1"/>
        </xdr:cNvSpPr>
      </xdr:nvSpPr>
      <xdr:spPr bwMode="auto">
        <a:xfrm>
          <a:off x="1885950" y="2695575"/>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81938"/>
    <xdr:sp macro="" textlink="">
      <xdr:nvSpPr>
        <xdr:cNvPr id="374" name="AutoShape 109" descr="+">
          <a:extLst>
            <a:ext uri="{FF2B5EF4-FFF2-40B4-BE49-F238E27FC236}">
              <a16:creationId xmlns:a16="http://schemas.microsoft.com/office/drawing/2014/main" id="{C516F9D9-2F50-4E27-BDE0-A83F6F6118BC}"/>
            </a:ext>
          </a:extLst>
        </xdr:cNvPr>
        <xdr:cNvSpPr>
          <a:spLocks noChangeAspect="1" noChangeArrowheads="1"/>
        </xdr:cNvSpPr>
      </xdr:nvSpPr>
      <xdr:spPr bwMode="auto">
        <a:xfrm>
          <a:off x="1885950" y="2695575"/>
          <a:ext cx="304800" cy="1819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71730"/>
    <xdr:sp macro="" textlink="">
      <xdr:nvSpPr>
        <xdr:cNvPr id="375" name="AutoShape 110" descr="+">
          <a:extLst>
            <a:ext uri="{FF2B5EF4-FFF2-40B4-BE49-F238E27FC236}">
              <a16:creationId xmlns:a16="http://schemas.microsoft.com/office/drawing/2014/main" id="{2E277342-C929-4281-AE12-081320688865}"/>
            </a:ext>
          </a:extLst>
        </xdr:cNvPr>
        <xdr:cNvSpPr>
          <a:spLocks noChangeAspect="1" noChangeArrowheads="1"/>
        </xdr:cNvSpPr>
      </xdr:nvSpPr>
      <xdr:spPr bwMode="auto">
        <a:xfrm>
          <a:off x="1885950" y="2695575"/>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1"/>
    <xdr:sp macro="" textlink="">
      <xdr:nvSpPr>
        <xdr:cNvPr id="376" name="AutoShape 111" descr="+">
          <a:extLst>
            <a:ext uri="{FF2B5EF4-FFF2-40B4-BE49-F238E27FC236}">
              <a16:creationId xmlns:a16="http://schemas.microsoft.com/office/drawing/2014/main" id="{2E8E0D29-1944-4FF2-8331-F509CF8F9C8B}"/>
            </a:ext>
          </a:extLst>
        </xdr:cNvPr>
        <xdr:cNvSpPr>
          <a:spLocks noChangeAspect="1" noChangeArrowheads="1"/>
        </xdr:cNvSpPr>
      </xdr:nvSpPr>
      <xdr:spPr bwMode="auto">
        <a:xfrm>
          <a:off x="1885950" y="269557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2"/>
    <xdr:sp macro="" textlink="">
      <xdr:nvSpPr>
        <xdr:cNvPr id="377" name="AutoShape 112" descr="+">
          <a:extLst>
            <a:ext uri="{FF2B5EF4-FFF2-40B4-BE49-F238E27FC236}">
              <a16:creationId xmlns:a16="http://schemas.microsoft.com/office/drawing/2014/main" id="{A06D750A-32EB-4F17-BF84-8350019570A6}"/>
            </a:ext>
          </a:extLst>
        </xdr:cNvPr>
        <xdr:cNvSpPr>
          <a:spLocks noChangeAspect="1" noChangeArrowheads="1"/>
        </xdr:cNvSpPr>
      </xdr:nvSpPr>
      <xdr:spPr bwMode="auto">
        <a:xfrm>
          <a:off x="1885950" y="2695575"/>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91458"/>
    <xdr:sp macro="" textlink="">
      <xdr:nvSpPr>
        <xdr:cNvPr id="378" name="AutoShape 113" descr="+">
          <a:extLst>
            <a:ext uri="{FF2B5EF4-FFF2-40B4-BE49-F238E27FC236}">
              <a16:creationId xmlns:a16="http://schemas.microsoft.com/office/drawing/2014/main" id="{DC516A91-5216-4AA2-B708-065F40EA543D}"/>
            </a:ext>
          </a:extLst>
        </xdr:cNvPr>
        <xdr:cNvSpPr>
          <a:spLocks noChangeAspect="1" noChangeArrowheads="1"/>
        </xdr:cNvSpPr>
      </xdr:nvSpPr>
      <xdr:spPr bwMode="auto">
        <a:xfrm>
          <a:off x="1885950" y="2695575"/>
          <a:ext cx="304800" cy="19145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1"/>
    <xdr:sp macro="" textlink="">
      <xdr:nvSpPr>
        <xdr:cNvPr id="379" name="AutoShape 114" descr="+">
          <a:extLst>
            <a:ext uri="{FF2B5EF4-FFF2-40B4-BE49-F238E27FC236}">
              <a16:creationId xmlns:a16="http://schemas.microsoft.com/office/drawing/2014/main" id="{3D74184D-EB96-4D9A-81EF-1681BAB3313A}"/>
            </a:ext>
          </a:extLst>
        </xdr:cNvPr>
        <xdr:cNvSpPr>
          <a:spLocks noChangeAspect="1" noChangeArrowheads="1"/>
        </xdr:cNvSpPr>
      </xdr:nvSpPr>
      <xdr:spPr bwMode="auto">
        <a:xfrm>
          <a:off x="1885950" y="269557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2"/>
    <xdr:sp macro="" textlink="">
      <xdr:nvSpPr>
        <xdr:cNvPr id="380" name="AutoShape 115" descr="+">
          <a:extLst>
            <a:ext uri="{FF2B5EF4-FFF2-40B4-BE49-F238E27FC236}">
              <a16:creationId xmlns:a16="http://schemas.microsoft.com/office/drawing/2014/main" id="{4FDB1C77-A079-4222-A029-F360B423B6D1}"/>
            </a:ext>
          </a:extLst>
        </xdr:cNvPr>
        <xdr:cNvSpPr>
          <a:spLocks noChangeAspect="1" noChangeArrowheads="1"/>
        </xdr:cNvSpPr>
      </xdr:nvSpPr>
      <xdr:spPr bwMode="auto">
        <a:xfrm>
          <a:off x="1885950" y="2695575"/>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2"/>
    <xdr:sp macro="" textlink="">
      <xdr:nvSpPr>
        <xdr:cNvPr id="381" name="AutoShape 116" descr="+">
          <a:extLst>
            <a:ext uri="{FF2B5EF4-FFF2-40B4-BE49-F238E27FC236}">
              <a16:creationId xmlns:a16="http://schemas.microsoft.com/office/drawing/2014/main" id="{916282E3-B1EE-4E78-9486-520904A2532C}"/>
            </a:ext>
          </a:extLst>
        </xdr:cNvPr>
        <xdr:cNvSpPr>
          <a:spLocks noChangeAspect="1" noChangeArrowheads="1"/>
        </xdr:cNvSpPr>
      </xdr:nvSpPr>
      <xdr:spPr bwMode="auto">
        <a:xfrm>
          <a:off x="1885950" y="2695575"/>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1"/>
    <xdr:sp macro="" textlink="">
      <xdr:nvSpPr>
        <xdr:cNvPr id="382" name="AutoShape 117" descr="+">
          <a:extLst>
            <a:ext uri="{FF2B5EF4-FFF2-40B4-BE49-F238E27FC236}">
              <a16:creationId xmlns:a16="http://schemas.microsoft.com/office/drawing/2014/main" id="{34E0A35B-4DD5-4126-8E90-952733F9A78D}"/>
            </a:ext>
          </a:extLst>
        </xdr:cNvPr>
        <xdr:cNvSpPr>
          <a:spLocks noChangeAspect="1" noChangeArrowheads="1"/>
        </xdr:cNvSpPr>
      </xdr:nvSpPr>
      <xdr:spPr bwMode="auto">
        <a:xfrm>
          <a:off x="1885950" y="269557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1"/>
    <xdr:sp macro="" textlink="">
      <xdr:nvSpPr>
        <xdr:cNvPr id="383" name="AutoShape 118" descr="+">
          <a:extLst>
            <a:ext uri="{FF2B5EF4-FFF2-40B4-BE49-F238E27FC236}">
              <a16:creationId xmlns:a16="http://schemas.microsoft.com/office/drawing/2014/main" id="{13BB17EA-84D4-446F-BCDC-8193522A0343}"/>
            </a:ext>
          </a:extLst>
        </xdr:cNvPr>
        <xdr:cNvSpPr>
          <a:spLocks noChangeAspect="1" noChangeArrowheads="1"/>
        </xdr:cNvSpPr>
      </xdr:nvSpPr>
      <xdr:spPr bwMode="auto">
        <a:xfrm>
          <a:off x="1885950" y="269557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09"/>
    <xdr:sp macro="" textlink="">
      <xdr:nvSpPr>
        <xdr:cNvPr id="384" name="AutoShape 119" descr="+">
          <a:extLst>
            <a:ext uri="{FF2B5EF4-FFF2-40B4-BE49-F238E27FC236}">
              <a16:creationId xmlns:a16="http://schemas.microsoft.com/office/drawing/2014/main" id="{478CBBD4-4D90-49D8-B522-09615B129EEB}"/>
            </a:ext>
          </a:extLst>
        </xdr:cNvPr>
        <xdr:cNvSpPr>
          <a:spLocks noChangeAspect="1" noChangeArrowheads="1"/>
        </xdr:cNvSpPr>
      </xdr:nvSpPr>
      <xdr:spPr bwMode="auto">
        <a:xfrm>
          <a:off x="1885950" y="2695575"/>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71731"/>
    <xdr:sp macro="" textlink="">
      <xdr:nvSpPr>
        <xdr:cNvPr id="385" name="AutoShape 120" descr="+">
          <a:extLst>
            <a:ext uri="{FF2B5EF4-FFF2-40B4-BE49-F238E27FC236}">
              <a16:creationId xmlns:a16="http://schemas.microsoft.com/office/drawing/2014/main" id="{E25991D2-B009-4BA9-85E8-98DBA5E5281F}"/>
            </a:ext>
          </a:extLst>
        </xdr:cNvPr>
        <xdr:cNvSpPr>
          <a:spLocks noChangeAspect="1" noChangeArrowheads="1"/>
        </xdr:cNvSpPr>
      </xdr:nvSpPr>
      <xdr:spPr bwMode="auto">
        <a:xfrm>
          <a:off x="1885950" y="2695575"/>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71730"/>
    <xdr:sp macro="" textlink="">
      <xdr:nvSpPr>
        <xdr:cNvPr id="386" name="AutoShape 121" descr="+">
          <a:extLst>
            <a:ext uri="{FF2B5EF4-FFF2-40B4-BE49-F238E27FC236}">
              <a16:creationId xmlns:a16="http://schemas.microsoft.com/office/drawing/2014/main" id="{C33A8382-40DE-474F-8B75-BCA2586BB83B}"/>
            </a:ext>
          </a:extLst>
        </xdr:cNvPr>
        <xdr:cNvSpPr>
          <a:spLocks noChangeAspect="1" noChangeArrowheads="1"/>
        </xdr:cNvSpPr>
      </xdr:nvSpPr>
      <xdr:spPr bwMode="auto">
        <a:xfrm>
          <a:off x="1885950" y="2695575"/>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81938"/>
    <xdr:sp macro="" textlink="">
      <xdr:nvSpPr>
        <xdr:cNvPr id="387" name="AutoShape 122" descr="+">
          <a:extLst>
            <a:ext uri="{FF2B5EF4-FFF2-40B4-BE49-F238E27FC236}">
              <a16:creationId xmlns:a16="http://schemas.microsoft.com/office/drawing/2014/main" id="{BE8B7BF5-0921-48E2-80D2-599910C2941D}"/>
            </a:ext>
          </a:extLst>
        </xdr:cNvPr>
        <xdr:cNvSpPr>
          <a:spLocks noChangeAspect="1" noChangeArrowheads="1"/>
        </xdr:cNvSpPr>
      </xdr:nvSpPr>
      <xdr:spPr bwMode="auto">
        <a:xfrm>
          <a:off x="1885950" y="2695575"/>
          <a:ext cx="304800" cy="1819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76492"/>
    <xdr:sp macro="" textlink="">
      <xdr:nvSpPr>
        <xdr:cNvPr id="388" name="AutoShape 123" descr="+">
          <a:extLst>
            <a:ext uri="{FF2B5EF4-FFF2-40B4-BE49-F238E27FC236}">
              <a16:creationId xmlns:a16="http://schemas.microsoft.com/office/drawing/2014/main" id="{0EB67BAA-2413-4112-AEF1-4A3AF2DCF13D}"/>
            </a:ext>
          </a:extLst>
        </xdr:cNvPr>
        <xdr:cNvSpPr>
          <a:spLocks noChangeAspect="1" noChangeArrowheads="1"/>
        </xdr:cNvSpPr>
      </xdr:nvSpPr>
      <xdr:spPr bwMode="auto">
        <a:xfrm>
          <a:off x="1885950" y="2695575"/>
          <a:ext cx="304800" cy="1764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2"/>
    <xdr:sp macro="" textlink="">
      <xdr:nvSpPr>
        <xdr:cNvPr id="389" name="AutoShape 124" descr="+">
          <a:extLst>
            <a:ext uri="{FF2B5EF4-FFF2-40B4-BE49-F238E27FC236}">
              <a16:creationId xmlns:a16="http://schemas.microsoft.com/office/drawing/2014/main" id="{B045E605-21DD-4636-B3A9-B8854EBE98D7}"/>
            </a:ext>
          </a:extLst>
        </xdr:cNvPr>
        <xdr:cNvSpPr>
          <a:spLocks noChangeAspect="1" noChangeArrowheads="1"/>
        </xdr:cNvSpPr>
      </xdr:nvSpPr>
      <xdr:spPr bwMode="auto">
        <a:xfrm>
          <a:off x="1885950" y="2695575"/>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0"/>
    <xdr:sp macro="" textlink="">
      <xdr:nvSpPr>
        <xdr:cNvPr id="390" name="AutoShape 125" descr="+">
          <a:extLst>
            <a:ext uri="{FF2B5EF4-FFF2-40B4-BE49-F238E27FC236}">
              <a16:creationId xmlns:a16="http://schemas.microsoft.com/office/drawing/2014/main" id="{A5E8D8F9-B467-44CA-ADC1-CC240357C1C4}"/>
            </a:ext>
          </a:extLst>
        </xdr:cNvPr>
        <xdr:cNvSpPr>
          <a:spLocks noChangeAspect="1" noChangeArrowheads="1"/>
        </xdr:cNvSpPr>
      </xdr:nvSpPr>
      <xdr:spPr bwMode="auto">
        <a:xfrm>
          <a:off x="1885950" y="269557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2"/>
    <xdr:sp macro="" textlink="">
      <xdr:nvSpPr>
        <xdr:cNvPr id="391" name="AutoShape 126" descr="+">
          <a:extLst>
            <a:ext uri="{FF2B5EF4-FFF2-40B4-BE49-F238E27FC236}">
              <a16:creationId xmlns:a16="http://schemas.microsoft.com/office/drawing/2014/main" id="{4B3186EF-9C2D-4208-984F-3D00830DDB74}"/>
            </a:ext>
          </a:extLst>
        </xdr:cNvPr>
        <xdr:cNvSpPr>
          <a:spLocks noChangeAspect="1" noChangeArrowheads="1"/>
        </xdr:cNvSpPr>
      </xdr:nvSpPr>
      <xdr:spPr bwMode="auto">
        <a:xfrm>
          <a:off x="1885950" y="2695575"/>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03088"/>
    <xdr:sp macro="" textlink="">
      <xdr:nvSpPr>
        <xdr:cNvPr id="392" name="AutoShape 127" descr="+">
          <a:extLst>
            <a:ext uri="{FF2B5EF4-FFF2-40B4-BE49-F238E27FC236}">
              <a16:creationId xmlns:a16="http://schemas.microsoft.com/office/drawing/2014/main" id="{18DEA862-F2F2-4980-B413-81E00C4DF51E}"/>
            </a:ext>
          </a:extLst>
        </xdr:cNvPr>
        <xdr:cNvSpPr>
          <a:spLocks noChangeAspect="1" noChangeArrowheads="1"/>
        </xdr:cNvSpPr>
      </xdr:nvSpPr>
      <xdr:spPr bwMode="auto">
        <a:xfrm>
          <a:off x="1885950" y="2695575"/>
          <a:ext cx="304800" cy="2030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03089"/>
    <xdr:sp macro="" textlink="">
      <xdr:nvSpPr>
        <xdr:cNvPr id="393" name="AutoShape 128" descr="+">
          <a:extLst>
            <a:ext uri="{FF2B5EF4-FFF2-40B4-BE49-F238E27FC236}">
              <a16:creationId xmlns:a16="http://schemas.microsoft.com/office/drawing/2014/main" id="{EAC90C01-AAB0-4310-8279-4564D9CBE394}"/>
            </a:ext>
          </a:extLst>
        </xdr:cNvPr>
        <xdr:cNvSpPr>
          <a:spLocks noChangeAspect="1" noChangeArrowheads="1"/>
        </xdr:cNvSpPr>
      </xdr:nvSpPr>
      <xdr:spPr bwMode="auto">
        <a:xfrm>
          <a:off x="1885950" y="2695575"/>
          <a:ext cx="304800" cy="203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09"/>
    <xdr:sp macro="" textlink="">
      <xdr:nvSpPr>
        <xdr:cNvPr id="394" name="AutoShape 129" descr="+">
          <a:extLst>
            <a:ext uri="{FF2B5EF4-FFF2-40B4-BE49-F238E27FC236}">
              <a16:creationId xmlns:a16="http://schemas.microsoft.com/office/drawing/2014/main" id="{D716E043-2C54-4D42-B8F4-3ADC84C3667B}"/>
            </a:ext>
          </a:extLst>
        </xdr:cNvPr>
        <xdr:cNvSpPr>
          <a:spLocks noChangeAspect="1" noChangeArrowheads="1"/>
        </xdr:cNvSpPr>
      </xdr:nvSpPr>
      <xdr:spPr bwMode="auto">
        <a:xfrm>
          <a:off x="1885950" y="2695575"/>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71730"/>
    <xdr:sp macro="" textlink="">
      <xdr:nvSpPr>
        <xdr:cNvPr id="395" name="AutoShape 130" descr="+">
          <a:extLst>
            <a:ext uri="{FF2B5EF4-FFF2-40B4-BE49-F238E27FC236}">
              <a16:creationId xmlns:a16="http://schemas.microsoft.com/office/drawing/2014/main" id="{A3E70E1E-72A9-4510-893B-BD528B64695E}"/>
            </a:ext>
          </a:extLst>
        </xdr:cNvPr>
        <xdr:cNvSpPr>
          <a:spLocks noChangeAspect="1" noChangeArrowheads="1"/>
        </xdr:cNvSpPr>
      </xdr:nvSpPr>
      <xdr:spPr bwMode="auto">
        <a:xfrm>
          <a:off x="1885950" y="2695575"/>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71731"/>
    <xdr:sp macro="" textlink="">
      <xdr:nvSpPr>
        <xdr:cNvPr id="396" name="AutoShape 131" descr="+">
          <a:extLst>
            <a:ext uri="{FF2B5EF4-FFF2-40B4-BE49-F238E27FC236}">
              <a16:creationId xmlns:a16="http://schemas.microsoft.com/office/drawing/2014/main" id="{420D0EDF-4D99-4815-A281-038DEC5DC5D1}"/>
            </a:ext>
          </a:extLst>
        </xdr:cNvPr>
        <xdr:cNvSpPr>
          <a:spLocks noChangeAspect="1" noChangeArrowheads="1"/>
        </xdr:cNvSpPr>
      </xdr:nvSpPr>
      <xdr:spPr bwMode="auto">
        <a:xfrm>
          <a:off x="1885950" y="2695575"/>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1"/>
    <xdr:sp macro="" textlink="">
      <xdr:nvSpPr>
        <xdr:cNvPr id="397" name="AutoShape 132" descr="+">
          <a:extLst>
            <a:ext uri="{FF2B5EF4-FFF2-40B4-BE49-F238E27FC236}">
              <a16:creationId xmlns:a16="http://schemas.microsoft.com/office/drawing/2014/main" id="{0F4C2BB8-0344-4D26-A679-64C6351EB6DB}"/>
            </a:ext>
          </a:extLst>
        </xdr:cNvPr>
        <xdr:cNvSpPr>
          <a:spLocks noChangeAspect="1" noChangeArrowheads="1"/>
        </xdr:cNvSpPr>
      </xdr:nvSpPr>
      <xdr:spPr bwMode="auto">
        <a:xfrm>
          <a:off x="1885950" y="269557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1"/>
    <xdr:sp macro="" textlink="">
      <xdr:nvSpPr>
        <xdr:cNvPr id="398" name="AutoShape 133" descr="+">
          <a:extLst>
            <a:ext uri="{FF2B5EF4-FFF2-40B4-BE49-F238E27FC236}">
              <a16:creationId xmlns:a16="http://schemas.microsoft.com/office/drawing/2014/main" id="{CBE9CAB5-84F5-479E-B1F4-781E75B1F7AC}"/>
            </a:ext>
          </a:extLst>
        </xdr:cNvPr>
        <xdr:cNvSpPr>
          <a:spLocks noChangeAspect="1" noChangeArrowheads="1"/>
        </xdr:cNvSpPr>
      </xdr:nvSpPr>
      <xdr:spPr bwMode="auto">
        <a:xfrm>
          <a:off x="1885950" y="269557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0"/>
    <xdr:sp macro="" textlink="">
      <xdr:nvSpPr>
        <xdr:cNvPr id="399" name="AutoShape 134" descr="+">
          <a:extLst>
            <a:ext uri="{FF2B5EF4-FFF2-40B4-BE49-F238E27FC236}">
              <a16:creationId xmlns:a16="http://schemas.microsoft.com/office/drawing/2014/main" id="{28935BDE-DF85-4802-902A-6CAD7930A79F}"/>
            </a:ext>
          </a:extLst>
        </xdr:cNvPr>
        <xdr:cNvSpPr>
          <a:spLocks noChangeAspect="1" noChangeArrowheads="1"/>
        </xdr:cNvSpPr>
      </xdr:nvSpPr>
      <xdr:spPr bwMode="auto">
        <a:xfrm>
          <a:off x="1885950" y="269557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1"/>
    <xdr:sp macro="" textlink="">
      <xdr:nvSpPr>
        <xdr:cNvPr id="400" name="AutoShape 135" descr="+">
          <a:extLst>
            <a:ext uri="{FF2B5EF4-FFF2-40B4-BE49-F238E27FC236}">
              <a16:creationId xmlns:a16="http://schemas.microsoft.com/office/drawing/2014/main" id="{5A10D8B8-E918-452A-BAD2-0E73ED0E5CC7}"/>
            </a:ext>
          </a:extLst>
        </xdr:cNvPr>
        <xdr:cNvSpPr>
          <a:spLocks noChangeAspect="1" noChangeArrowheads="1"/>
        </xdr:cNvSpPr>
      </xdr:nvSpPr>
      <xdr:spPr bwMode="auto">
        <a:xfrm>
          <a:off x="1885950" y="269557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1"/>
    <xdr:sp macro="" textlink="">
      <xdr:nvSpPr>
        <xdr:cNvPr id="401" name="AutoShape 136" descr="+">
          <a:extLst>
            <a:ext uri="{FF2B5EF4-FFF2-40B4-BE49-F238E27FC236}">
              <a16:creationId xmlns:a16="http://schemas.microsoft.com/office/drawing/2014/main" id="{3F707600-E5E2-42F3-986F-9426DAB9D482}"/>
            </a:ext>
          </a:extLst>
        </xdr:cNvPr>
        <xdr:cNvSpPr>
          <a:spLocks noChangeAspect="1" noChangeArrowheads="1"/>
        </xdr:cNvSpPr>
      </xdr:nvSpPr>
      <xdr:spPr bwMode="auto">
        <a:xfrm>
          <a:off x="1885950" y="269557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2"/>
    <xdr:sp macro="" textlink="">
      <xdr:nvSpPr>
        <xdr:cNvPr id="402" name="AutoShape 137" descr="+">
          <a:extLst>
            <a:ext uri="{FF2B5EF4-FFF2-40B4-BE49-F238E27FC236}">
              <a16:creationId xmlns:a16="http://schemas.microsoft.com/office/drawing/2014/main" id="{B99A20B8-58AD-4A53-B0BC-BE7A2475984A}"/>
            </a:ext>
          </a:extLst>
        </xdr:cNvPr>
        <xdr:cNvSpPr>
          <a:spLocks noChangeAspect="1" noChangeArrowheads="1"/>
        </xdr:cNvSpPr>
      </xdr:nvSpPr>
      <xdr:spPr bwMode="auto">
        <a:xfrm>
          <a:off x="1885950" y="2695575"/>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1"/>
    <xdr:sp macro="" textlink="">
      <xdr:nvSpPr>
        <xdr:cNvPr id="403" name="AutoShape 138" descr="+">
          <a:extLst>
            <a:ext uri="{FF2B5EF4-FFF2-40B4-BE49-F238E27FC236}">
              <a16:creationId xmlns:a16="http://schemas.microsoft.com/office/drawing/2014/main" id="{0472F1D7-433C-4DFB-852D-ADFF6FEEC45A}"/>
            </a:ext>
          </a:extLst>
        </xdr:cNvPr>
        <xdr:cNvSpPr>
          <a:spLocks noChangeAspect="1" noChangeArrowheads="1"/>
        </xdr:cNvSpPr>
      </xdr:nvSpPr>
      <xdr:spPr bwMode="auto">
        <a:xfrm>
          <a:off x="1885950" y="269557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09"/>
    <xdr:sp macro="" textlink="">
      <xdr:nvSpPr>
        <xdr:cNvPr id="404" name="AutoShape 139" descr="+">
          <a:extLst>
            <a:ext uri="{FF2B5EF4-FFF2-40B4-BE49-F238E27FC236}">
              <a16:creationId xmlns:a16="http://schemas.microsoft.com/office/drawing/2014/main" id="{6C4E0A3E-2327-4284-9A46-C4C2DDEA31FB}"/>
            </a:ext>
          </a:extLst>
        </xdr:cNvPr>
        <xdr:cNvSpPr>
          <a:spLocks noChangeAspect="1" noChangeArrowheads="1"/>
        </xdr:cNvSpPr>
      </xdr:nvSpPr>
      <xdr:spPr bwMode="auto">
        <a:xfrm>
          <a:off x="1885950" y="2695575"/>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71732"/>
    <xdr:sp macro="" textlink="">
      <xdr:nvSpPr>
        <xdr:cNvPr id="405" name="AutoShape 140" descr="+">
          <a:extLst>
            <a:ext uri="{FF2B5EF4-FFF2-40B4-BE49-F238E27FC236}">
              <a16:creationId xmlns:a16="http://schemas.microsoft.com/office/drawing/2014/main" id="{F7F931AF-9C02-4CC4-A32F-ED7238EDF30E}"/>
            </a:ext>
          </a:extLst>
        </xdr:cNvPr>
        <xdr:cNvSpPr>
          <a:spLocks noChangeAspect="1" noChangeArrowheads="1"/>
        </xdr:cNvSpPr>
      </xdr:nvSpPr>
      <xdr:spPr bwMode="auto">
        <a:xfrm>
          <a:off x="1885950" y="2695575"/>
          <a:ext cx="304800" cy="17173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71730"/>
    <xdr:sp macro="" textlink="">
      <xdr:nvSpPr>
        <xdr:cNvPr id="406" name="AutoShape 141" descr="+">
          <a:extLst>
            <a:ext uri="{FF2B5EF4-FFF2-40B4-BE49-F238E27FC236}">
              <a16:creationId xmlns:a16="http://schemas.microsoft.com/office/drawing/2014/main" id="{EB7A4B19-3B0F-40CC-A07F-0AAB9A7779FD}"/>
            </a:ext>
          </a:extLst>
        </xdr:cNvPr>
        <xdr:cNvSpPr>
          <a:spLocks noChangeAspect="1" noChangeArrowheads="1"/>
        </xdr:cNvSpPr>
      </xdr:nvSpPr>
      <xdr:spPr bwMode="auto">
        <a:xfrm>
          <a:off x="1885950" y="2695575"/>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71731"/>
    <xdr:sp macro="" textlink="">
      <xdr:nvSpPr>
        <xdr:cNvPr id="407" name="AutoShape 142" descr="+">
          <a:extLst>
            <a:ext uri="{FF2B5EF4-FFF2-40B4-BE49-F238E27FC236}">
              <a16:creationId xmlns:a16="http://schemas.microsoft.com/office/drawing/2014/main" id="{BC2D479A-35EF-41DF-B47A-0DC220C80CA3}"/>
            </a:ext>
          </a:extLst>
        </xdr:cNvPr>
        <xdr:cNvSpPr>
          <a:spLocks noChangeAspect="1" noChangeArrowheads="1"/>
        </xdr:cNvSpPr>
      </xdr:nvSpPr>
      <xdr:spPr bwMode="auto">
        <a:xfrm>
          <a:off x="1885950" y="2695575"/>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27330"/>
    <xdr:sp macro="" textlink="">
      <xdr:nvSpPr>
        <xdr:cNvPr id="408" name="AutoShape 143" descr="+">
          <a:extLst>
            <a:ext uri="{FF2B5EF4-FFF2-40B4-BE49-F238E27FC236}">
              <a16:creationId xmlns:a16="http://schemas.microsoft.com/office/drawing/2014/main" id="{CC344D27-99F7-4459-950C-33E68224EB44}"/>
            </a:ext>
          </a:extLst>
        </xdr:cNvPr>
        <xdr:cNvSpPr>
          <a:spLocks noChangeAspect="1" noChangeArrowheads="1"/>
        </xdr:cNvSpPr>
      </xdr:nvSpPr>
      <xdr:spPr bwMode="auto">
        <a:xfrm>
          <a:off x="1885950" y="2695575"/>
          <a:ext cx="304800" cy="3273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0"/>
    <xdr:sp macro="" textlink="">
      <xdr:nvSpPr>
        <xdr:cNvPr id="409" name="AutoShape 144" descr="+">
          <a:extLst>
            <a:ext uri="{FF2B5EF4-FFF2-40B4-BE49-F238E27FC236}">
              <a16:creationId xmlns:a16="http://schemas.microsoft.com/office/drawing/2014/main" id="{2230F5EB-F01F-4722-A676-3BCCFB8B57E0}"/>
            </a:ext>
          </a:extLst>
        </xdr:cNvPr>
        <xdr:cNvSpPr>
          <a:spLocks noChangeAspect="1" noChangeArrowheads="1"/>
        </xdr:cNvSpPr>
      </xdr:nvSpPr>
      <xdr:spPr bwMode="auto">
        <a:xfrm>
          <a:off x="1885950" y="269557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1"/>
    <xdr:sp macro="" textlink="">
      <xdr:nvSpPr>
        <xdr:cNvPr id="410" name="AutoShape 145" descr="+">
          <a:extLst>
            <a:ext uri="{FF2B5EF4-FFF2-40B4-BE49-F238E27FC236}">
              <a16:creationId xmlns:a16="http://schemas.microsoft.com/office/drawing/2014/main" id="{F42A4C8C-4383-4F20-828A-FBFAD348BB87}"/>
            </a:ext>
          </a:extLst>
        </xdr:cNvPr>
        <xdr:cNvSpPr>
          <a:spLocks noChangeAspect="1" noChangeArrowheads="1"/>
        </xdr:cNvSpPr>
      </xdr:nvSpPr>
      <xdr:spPr bwMode="auto">
        <a:xfrm>
          <a:off x="1885950" y="269557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1"/>
    <xdr:sp macro="" textlink="">
      <xdr:nvSpPr>
        <xdr:cNvPr id="411" name="AutoShape 146" descr="+">
          <a:extLst>
            <a:ext uri="{FF2B5EF4-FFF2-40B4-BE49-F238E27FC236}">
              <a16:creationId xmlns:a16="http://schemas.microsoft.com/office/drawing/2014/main" id="{186D6582-4960-4DE3-AB67-DAD10D0421DC}"/>
            </a:ext>
          </a:extLst>
        </xdr:cNvPr>
        <xdr:cNvSpPr>
          <a:spLocks noChangeAspect="1" noChangeArrowheads="1"/>
        </xdr:cNvSpPr>
      </xdr:nvSpPr>
      <xdr:spPr bwMode="auto">
        <a:xfrm>
          <a:off x="1885950" y="269557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71730"/>
    <xdr:sp macro="" textlink="">
      <xdr:nvSpPr>
        <xdr:cNvPr id="412" name="AutoShape 147" descr="+">
          <a:extLst>
            <a:ext uri="{FF2B5EF4-FFF2-40B4-BE49-F238E27FC236}">
              <a16:creationId xmlns:a16="http://schemas.microsoft.com/office/drawing/2014/main" id="{3C3C13D0-6F31-44DD-BD43-65B8A28CC3A1}"/>
            </a:ext>
          </a:extLst>
        </xdr:cNvPr>
        <xdr:cNvSpPr>
          <a:spLocks noChangeAspect="1" noChangeArrowheads="1"/>
        </xdr:cNvSpPr>
      </xdr:nvSpPr>
      <xdr:spPr bwMode="auto">
        <a:xfrm>
          <a:off x="1885950" y="2695575"/>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81936"/>
    <xdr:sp macro="" textlink="">
      <xdr:nvSpPr>
        <xdr:cNvPr id="413" name="AutoShape 148" descr="+">
          <a:extLst>
            <a:ext uri="{FF2B5EF4-FFF2-40B4-BE49-F238E27FC236}">
              <a16:creationId xmlns:a16="http://schemas.microsoft.com/office/drawing/2014/main" id="{6EC2442B-E6B6-4941-BD74-0BB5C2784D1C}"/>
            </a:ext>
          </a:extLst>
        </xdr:cNvPr>
        <xdr:cNvSpPr>
          <a:spLocks noChangeAspect="1" noChangeArrowheads="1"/>
        </xdr:cNvSpPr>
      </xdr:nvSpPr>
      <xdr:spPr bwMode="auto">
        <a:xfrm>
          <a:off x="1885950" y="2695575"/>
          <a:ext cx="304800" cy="18193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91460"/>
    <xdr:sp macro="" textlink="">
      <xdr:nvSpPr>
        <xdr:cNvPr id="414" name="AutoShape 149" descr="+">
          <a:extLst>
            <a:ext uri="{FF2B5EF4-FFF2-40B4-BE49-F238E27FC236}">
              <a16:creationId xmlns:a16="http://schemas.microsoft.com/office/drawing/2014/main" id="{7AC49AAA-D05A-4D38-9B2E-5863C8BC639C}"/>
            </a:ext>
          </a:extLst>
        </xdr:cNvPr>
        <xdr:cNvSpPr>
          <a:spLocks noChangeAspect="1" noChangeArrowheads="1"/>
        </xdr:cNvSpPr>
      </xdr:nvSpPr>
      <xdr:spPr bwMode="auto">
        <a:xfrm>
          <a:off x="1885950" y="2695575"/>
          <a:ext cx="304800" cy="19146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0"/>
    <xdr:sp macro="" textlink="">
      <xdr:nvSpPr>
        <xdr:cNvPr id="415" name="AutoShape 150" descr="+">
          <a:extLst>
            <a:ext uri="{FF2B5EF4-FFF2-40B4-BE49-F238E27FC236}">
              <a16:creationId xmlns:a16="http://schemas.microsoft.com/office/drawing/2014/main" id="{92C2F716-3EDA-422A-97BC-B8F3A6409A2C}"/>
            </a:ext>
          </a:extLst>
        </xdr:cNvPr>
        <xdr:cNvSpPr>
          <a:spLocks noChangeAspect="1" noChangeArrowheads="1"/>
        </xdr:cNvSpPr>
      </xdr:nvSpPr>
      <xdr:spPr bwMode="auto">
        <a:xfrm>
          <a:off x="1885950" y="269557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2"/>
    <xdr:sp macro="" textlink="">
      <xdr:nvSpPr>
        <xdr:cNvPr id="416" name="AutoShape 151" descr="+">
          <a:extLst>
            <a:ext uri="{FF2B5EF4-FFF2-40B4-BE49-F238E27FC236}">
              <a16:creationId xmlns:a16="http://schemas.microsoft.com/office/drawing/2014/main" id="{175C82B9-4BCE-4598-A76B-6306AC32D93D}"/>
            </a:ext>
          </a:extLst>
        </xdr:cNvPr>
        <xdr:cNvSpPr>
          <a:spLocks noChangeAspect="1" noChangeArrowheads="1"/>
        </xdr:cNvSpPr>
      </xdr:nvSpPr>
      <xdr:spPr bwMode="auto">
        <a:xfrm>
          <a:off x="1885950" y="2695575"/>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2"/>
    <xdr:sp macro="" textlink="">
      <xdr:nvSpPr>
        <xdr:cNvPr id="417" name="AutoShape 152" descr="+">
          <a:extLst>
            <a:ext uri="{FF2B5EF4-FFF2-40B4-BE49-F238E27FC236}">
              <a16:creationId xmlns:a16="http://schemas.microsoft.com/office/drawing/2014/main" id="{F7A20F54-2A42-41BD-85EE-E1484CB962F0}"/>
            </a:ext>
          </a:extLst>
        </xdr:cNvPr>
        <xdr:cNvSpPr>
          <a:spLocks noChangeAspect="1" noChangeArrowheads="1"/>
        </xdr:cNvSpPr>
      </xdr:nvSpPr>
      <xdr:spPr bwMode="auto">
        <a:xfrm>
          <a:off x="1885950" y="2695575"/>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796"/>
    <xdr:sp macro="" textlink="">
      <xdr:nvSpPr>
        <xdr:cNvPr id="418" name="AutoShape 153" descr="+">
          <a:extLst>
            <a:ext uri="{FF2B5EF4-FFF2-40B4-BE49-F238E27FC236}">
              <a16:creationId xmlns:a16="http://schemas.microsoft.com/office/drawing/2014/main" id="{B5BDDF30-7A62-42BA-AB12-07CB52C59C45}"/>
            </a:ext>
          </a:extLst>
        </xdr:cNvPr>
        <xdr:cNvSpPr>
          <a:spLocks noChangeAspect="1" noChangeArrowheads="1"/>
        </xdr:cNvSpPr>
      </xdr:nvSpPr>
      <xdr:spPr bwMode="auto">
        <a:xfrm>
          <a:off x="1885950" y="2695575"/>
          <a:ext cx="304800" cy="30479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72410"/>
    <xdr:sp macro="" textlink="">
      <xdr:nvSpPr>
        <xdr:cNvPr id="419" name="AutoShape 154" descr="+">
          <a:extLst>
            <a:ext uri="{FF2B5EF4-FFF2-40B4-BE49-F238E27FC236}">
              <a16:creationId xmlns:a16="http://schemas.microsoft.com/office/drawing/2014/main" id="{6B297E5D-1618-424D-94EE-D7B0A17EC360}"/>
            </a:ext>
          </a:extLst>
        </xdr:cNvPr>
        <xdr:cNvSpPr>
          <a:spLocks noChangeAspect="1" noChangeArrowheads="1"/>
        </xdr:cNvSpPr>
      </xdr:nvSpPr>
      <xdr:spPr bwMode="auto">
        <a:xfrm>
          <a:off x="1885950" y="2695575"/>
          <a:ext cx="304800" cy="1724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0"/>
    <xdr:sp macro="" textlink="">
      <xdr:nvSpPr>
        <xdr:cNvPr id="420" name="AutoShape 155" descr="+">
          <a:extLst>
            <a:ext uri="{FF2B5EF4-FFF2-40B4-BE49-F238E27FC236}">
              <a16:creationId xmlns:a16="http://schemas.microsoft.com/office/drawing/2014/main" id="{772642D1-4168-43C5-B827-9F458D8CC77B}"/>
            </a:ext>
          </a:extLst>
        </xdr:cNvPr>
        <xdr:cNvSpPr>
          <a:spLocks noChangeAspect="1" noChangeArrowheads="1"/>
        </xdr:cNvSpPr>
      </xdr:nvSpPr>
      <xdr:spPr bwMode="auto">
        <a:xfrm>
          <a:off x="1885950" y="269557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04110"/>
    <xdr:sp macro="" textlink="">
      <xdr:nvSpPr>
        <xdr:cNvPr id="421" name="AutoShape 156" descr="+">
          <a:extLst>
            <a:ext uri="{FF2B5EF4-FFF2-40B4-BE49-F238E27FC236}">
              <a16:creationId xmlns:a16="http://schemas.microsoft.com/office/drawing/2014/main" id="{9242FDCA-8012-47B4-B9A6-8B2BD53EFAE4}"/>
            </a:ext>
          </a:extLst>
        </xdr:cNvPr>
        <xdr:cNvSpPr>
          <a:spLocks noChangeAspect="1" noChangeArrowheads="1"/>
        </xdr:cNvSpPr>
      </xdr:nvSpPr>
      <xdr:spPr bwMode="auto">
        <a:xfrm>
          <a:off x="1885950" y="2695575"/>
          <a:ext cx="304800" cy="2041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04112"/>
    <xdr:sp macro="" textlink="">
      <xdr:nvSpPr>
        <xdr:cNvPr id="422" name="AutoShape 157" descr="+">
          <a:extLst>
            <a:ext uri="{FF2B5EF4-FFF2-40B4-BE49-F238E27FC236}">
              <a16:creationId xmlns:a16="http://schemas.microsoft.com/office/drawing/2014/main" id="{61190CAC-7019-49CD-95F2-BCBDE90E4F95}"/>
            </a:ext>
          </a:extLst>
        </xdr:cNvPr>
        <xdr:cNvSpPr>
          <a:spLocks noChangeAspect="1" noChangeArrowheads="1"/>
        </xdr:cNvSpPr>
      </xdr:nvSpPr>
      <xdr:spPr bwMode="auto">
        <a:xfrm>
          <a:off x="1885950" y="2695575"/>
          <a:ext cx="304800" cy="2041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71730"/>
    <xdr:sp macro="" textlink="">
      <xdr:nvSpPr>
        <xdr:cNvPr id="423" name="AutoShape 158" descr="+">
          <a:extLst>
            <a:ext uri="{FF2B5EF4-FFF2-40B4-BE49-F238E27FC236}">
              <a16:creationId xmlns:a16="http://schemas.microsoft.com/office/drawing/2014/main" id="{A868D6CA-61B7-4C99-B632-E7BB30E2F247}"/>
            </a:ext>
          </a:extLst>
        </xdr:cNvPr>
        <xdr:cNvSpPr>
          <a:spLocks noChangeAspect="1" noChangeArrowheads="1"/>
        </xdr:cNvSpPr>
      </xdr:nvSpPr>
      <xdr:spPr bwMode="auto">
        <a:xfrm>
          <a:off x="1885950" y="2695575"/>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71731"/>
    <xdr:sp macro="" textlink="">
      <xdr:nvSpPr>
        <xdr:cNvPr id="424" name="AutoShape 159" descr="+">
          <a:extLst>
            <a:ext uri="{FF2B5EF4-FFF2-40B4-BE49-F238E27FC236}">
              <a16:creationId xmlns:a16="http://schemas.microsoft.com/office/drawing/2014/main" id="{E8A59970-E990-425A-8894-789C8EFB8CA7}"/>
            </a:ext>
          </a:extLst>
        </xdr:cNvPr>
        <xdr:cNvSpPr>
          <a:spLocks noChangeAspect="1" noChangeArrowheads="1"/>
        </xdr:cNvSpPr>
      </xdr:nvSpPr>
      <xdr:spPr bwMode="auto">
        <a:xfrm>
          <a:off x="1885950" y="2695575"/>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86696"/>
    <xdr:sp macro="" textlink="">
      <xdr:nvSpPr>
        <xdr:cNvPr id="425" name="AutoShape 160" descr="+">
          <a:extLst>
            <a:ext uri="{FF2B5EF4-FFF2-40B4-BE49-F238E27FC236}">
              <a16:creationId xmlns:a16="http://schemas.microsoft.com/office/drawing/2014/main" id="{F86FF500-9884-42F0-98D7-A11925B7C1C8}"/>
            </a:ext>
          </a:extLst>
        </xdr:cNvPr>
        <xdr:cNvSpPr>
          <a:spLocks noChangeAspect="1" noChangeArrowheads="1"/>
        </xdr:cNvSpPr>
      </xdr:nvSpPr>
      <xdr:spPr bwMode="auto">
        <a:xfrm>
          <a:off x="1885950" y="2695575"/>
          <a:ext cx="304800" cy="18669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71732"/>
    <xdr:sp macro="" textlink="">
      <xdr:nvSpPr>
        <xdr:cNvPr id="426" name="AutoShape 161" descr="+">
          <a:extLst>
            <a:ext uri="{FF2B5EF4-FFF2-40B4-BE49-F238E27FC236}">
              <a16:creationId xmlns:a16="http://schemas.microsoft.com/office/drawing/2014/main" id="{7E0590ED-9726-41DC-88F1-EE975C0BE4B4}"/>
            </a:ext>
          </a:extLst>
        </xdr:cNvPr>
        <xdr:cNvSpPr>
          <a:spLocks noChangeAspect="1" noChangeArrowheads="1"/>
        </xdr:cNvSpPr>
      </xdr:nvSpPr>
      <xdr:spPr bwMode="auto">
        <a:xfrm>
          <a:off x="1885950" y="2695575"/>
          <a:ext cx="304800" cy="17173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0"/>
    <xdr:sp macro="" textlink="">
      <xdr:nvSpPr>
        <xdr:cNvPr id="427" name="AutoShape 162" descr="+">
          <a:extLst>
            <a:ext uri="{FF2B5EF4-FFF2-40B4-BE49-F238E27FC236}">
              <a16:creationId xmlns:a16="http://schemas.microsoft.com/office/drawing/2014/main" id="{0CF55552-5478-4C1D-ADA2-9532CFAA50F6}"/>
            </a:ext>
          </a:extLst>
        </xdr:cNvPr>
        <xdr:cNvSpPr>
          <a:spLocks noChangeAspect="1" noChangeArrowheads="1"/>
        </xdr:cNvSpPr>
      </xdr:nvSpPr>
      <xdr:spPr bwMode="auto">
        <a:xfrm>
          <a:off x="1885950" y="269557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2"/>
    <xdr:sp macro="" textlink="">
      <xdr:nvSpPr>
        <xdr:cNvPr id="428" name="AutoShape 163" descr="+">
          <a:extLst>
            <a:ext uri="{FF2B5EF4-FFF2-40B4-BE49-F238E27FC236}">
              <a16:creationId xmlns:a16="http://schemas.microsoft.com/office/drawing/2014/main" id="{CAF6322D-0B9F-4292-A7CC-D74C2057E94A}"/>
            </a:ext>
          </a:extLst>
        </xdr:cNvPr>
        <xdr:cNvSpPr>
          <a:spLocks noChangeAspect="1" noChangeArrowheads="1"/>
        </xdr:cNvSpPr>
      </xdr:nvSpPr>
      <xdr:spPr bwMode="auto">
        <a:xfrm>
          <a:off x="1885950" y="2695575"/>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91460"/>
    <xdr:sp macro="" textlink="">
      <xdr:nvSpPr>
        <xdr:cNvPr id="429" name="AutoShape 164" descr="+">
          <a:extLst>
            <a:ext uri="{FF2B5EF4-FFF2-40B4-BE49-F238E27FC236}">
              <a16:creationId xmlns:a16="http://schemas.microsoft.com/office/drawing/2014/main" id="{5C777FBA-69AD-4440-A921-35F553D313C4}"/>
            </a:ext>
          </a:extLst>
        </xdr:cNvPr>
        <xdr:cNvSpPr>
          <a:spLocks noChangeAspect="1" noChangeArrowheads="1"/>
        </xdr:cNvSpPr>
      </xdr:nvSpPr>
      <xdr:spPr bwMode="auto">
        <a:xfrm>
          <a:off x="1885950" y="2695575"/>
          <a:ext cx="304800" cy="19146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0"/>
    <xdr:sp macro="" textlink="">
      <xdr:nvSpPr>
        <xdr:cNvPr id="430" name="AutoShape 165" descr="+">
          <a:extLst>
            <a:ext uri="{FF2B5EF4-FFF2-40B4-BE49-F238E27FC236}">
              <a16:creationId xmlns:a16="http://schemas.microsoft.com/office/drawing/2014/main" id="{C185CB6F-F137-40D5-8038-DAD3BFB77FF3}"/>
            </a:ext>
          </a:extLst>
        </xdr:cNvPr>
        <xdr:cNvSpPr>
          <a:spLocks noChangeAspect="1" noChangeArrowheads="1"/>
        </xdr:cNvSpPr>
      </xdr:nvSpPr>
      <xdr:spPr bwMode="auto">
        <a:xfrm>
          <a:off x="1885950" y="269557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0"/>
    <xdr:sp macro="" textlink="">
      <xdr:nvSpPr>
        <xdr:cNvPr id="431" name="AutoShape 166" descr="+">
          <a:extLst>
            <a:ext uri="{FF2B5EF4-FFF2-40B4-BE49-F238E27FC236}">
              <a16:creationId xmlns:a16="http://schemas.microsoft.com/office/drawing/2014/main" id="{80EA1E0D-8742-4E10-9487-E8D46A9F1D13}"/>
            </a:ext>
          </a:extLst>
        </xdr:cNvPr>
        <xdr:cNvSpPr>
          <a:spLocks noChangeAspect="1" noChangeArrowheads="1"/>
        </xdr:cNvSpPr>
      </xdr:nvSpPr>
      <xdr:spPr bwMode="auto">
        <a:xfrm>
          <a:off x="1885950" y="269557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3"/>
    <xdr:sp macro="" textlink="">
      <xdr:nvSpPr>
        <xdr:cNvPr id="432" name="AutoShape 167" descr="+">
          <a:extLst>
            <a:ext uri="{FF2B5EF4-FFF2-40B4-BE49-F238E27FC236}">
              <a16:creationId xmlns:a16="http://schemas.microsoft.com/office/drawing/2014/main" id="{EDEFD481-020D-4589-8E99-9410AAEE0C9F}"/>
            </a:ext>
          </a:extLst>
        </xdr:cNvPr>
        <xdr:cNvSpPr>
          <a:spLocks noChangeAspect="1" noChangeArrowheads="1"/>
        </xdr:cNvSpPr>
      </xdr:nvSpPr>
      <xdr:spPr bwMode="auto">
        <a:xfrm>
          <a:off x="1885950" y="2695575"/>
          <a:ext cx="304800" cy="2105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8885"/>
    <xdr:sp macro="" textlink="">
      <xdr:nvSpPr>
        <xdr:cNvPr id="433" name="AutoShape 168" descr="+">
          <a:extLst>
            <a:ext uri="{FF2B5EF4-FFF2-40B4-BE49-F238E27FC236}">
              <a16:creationId xmlns:a16="http://schemas.microsoft.com/office/drawing/2014/main" id="{D2EA5974-F4EF-4BD4-89AC-06FC12C01DAF}"/>
            </a:ext>
          </a:extLst>
        </xdr:cNvPr>
        <xdr:cNvSpPr>
          <a:spLocks noChangeAspect="1" noChangeArrowheads="1"/>
        </xdr:cNvSpPr>
      </xdr:nvSpPr>
      <xdr:spPr bwMode="auto">
        <a:xfrm>
          <a:off x="1885950" y="2695575"/>
          <a:ext cx="304800" cy="3088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75533"/>
    <xdr:sp macro="" textlink="">
      <xdr:nvSpPr>
        <xdr:cNvPr id="434" name="AutoShape 169" descr="+">
          <a:extLst>
            <a:ext uri="{FF2B5EF4-FFF2-40B4-BE49-F238E27FC236}">
              <a16:creationId xmlns:a16="http://schemas.microsoft.com/office/drawing/2014/main" id="{DCA40666-53BA-41D8-B780-A4CE18FFCC83}"/>
            </a:ext>
          </a:extLst>
        </xdr:cNvPr>
        <xdr:cNvSpPr>
          <a:spLocks noChangeAspect="1" noChangeArrowheads="1"/>
        </xdr:cNvSpPr>
      </xdr:nvSpPr>
      <xdr:spPr bwMode="auto">
        <a:xfrm>
          <a:off x="1885950" y="2695575"/>
          <a:ext cx="304800" cy="17553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04106"/>
    <xdr:sp macro="" textlink="">
      <xdr:nvSpPr>
        <xdr:cNvPr id="435" name="AutoShape 170" descr="+">
          <a:extLst>
            <a:ext uri="{FF2B5EF4-FFF2-40B4-BE49-F238E27FC236}">
              <a16:creationId xmlns:a16="http://schemas.microsoft.com/office/drawing/2014/main" id="{82318FD4-A4DE-454F-981E-03E9C2DC6E27}"/>
            </a:ext>
          </a:extLst>
        </xdr:cNvPr>
        <xdr:cNvSpPr>
          <a:spLocks noChangeAspect="1" noChangeArrowheads="1"/>
        </xdr:cNvSpPr>
      </xdr:nvSpPr>
      <xdr:spPr bwMode="auto">
        <a:xfrm>
          <a:off x="1885950" y="2695575"/>
          <a:ext cx="304800" cy="20410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8883"/>
    <xdr:sp macro="" textlink="">
      <xdr:nvSpPr>
        <xdr:cNvPr id="436" name="AutoShape 171" descr="+">
          <a:extLst>
            <a:ext uri="{FF2B5EF4-FFF2-40B4-BE49-F238E27FC236}">
              <a16:creationId xmlns:a16="http://schemas.microsoft.com/office/drawing/2014/main" id="{8FA4D6C8-4928-4227-ADD2-9F260B238EB4}"/>
            </a:ext>
          </a:extLst>
        </xdr:cNvPr>
        <xdr:cNvSpPr>
          <a:spLocks noChangeAspect="1" noChangeArrowheads="1"/>
        </xdr:cNvSpPr>
      </xdr:nvSpPr>
      <xdr:spPr bwMode="auto">
        <a:xfrm>
          <a:off x="1885950" y="2695575"/>
          <a:ext cx="304800" cy="30888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04108"/>
    <xdr:sp macro="" textlink="">
      <xdr:nvSpPr>
        <xdr:cNvPr id="437" name="AutoShape 172" descr="+">
          <a:extLst>
            <a:ext uri="{FF2B5EF4-FFF2-40B4-BE49-F238E27FC236}">
              <a16:creationId xmlns:a16="http://schemas.microsoft.com/office/drawing/2014/main" id="{B5E147F8-9676-4121-BFCF-1B3B5EE08657}"/>
            </a:ext>
          </a:extLst>
        </xdr:cNvPr>
        <xdr:cNvSpPr>
          <a:spLocks noChangeAspect="1" noChangeArrowheads="1"/>
        </xdr:cNvSpPr>
      </xdr:nvSpPr>
      <xdr:spPr bwMode="auto">
        <a:xfrm>
          <a:off x="1885950" y="2695575"/>
          <a:ext cx="304800" cy="20410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71730"/>
    <xdr:sp macro="" textlink="">
      <xdr:nvSpPr>
        <xdr:cNvPr id="438" name="AutoShape 173" descr="+">
          <a:extLst>
            <a:ext uri="{FF2B5EF4-FFF2-40B4-BE49-F238E27FC236}">
              <a16:creationId xmlns:a16="http://schemas.microsoft.com/office/drawing/2014/main" id="{AEDF3813-67F9-467A-8E87-582C1804D007}"/>
            </a:ext>
          </a:extLst>
        </xdr:cNvPr>
        <xdr:cNvSpPr>
          <a:spLocks noChangeAspect="1" noChangeArrowheads="1"/>
        </xdr:cNvSpPr>
      </xdr:nvSpPr>
      <xdr:spPr bwMode="auto">
        <a:xfrm>
          <a:off x="1885950" y="2695575"/>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73131"/>
    <xdr:sp macro="" textlink="">
      <xdr:nvSpPr>
        <xdr:cNvPr id="439" name="AutoShape 174" descr="+">
          <a:extLst>
            <a:ext uri="{FF2B5EF4-FFF2-40B4-BE49-F238E27FC236}">
              <a16:creationId xmlns:a16="http://schemas.microsoft.com/office/drawing/2014/main" id="{CC2DBBCA-58E0-4E5B-84D0-E20D683B6CCD}"/>
            </a:ext>
          </a:extLst>
        </xdr:cNvPr>
        <xdr:cNvSpPr>
          <a:spLocks noChangeAspect="1" noChangeArrowheads="1"/>
        </xdr:cNvSpPr>
      </xdr:nvSpPr>
      <xdr:spPr bwMode="auto">
        <a:xfrm>
          <a:off x="1885950" y="2695575"/>
          <a:ext cx="304800" cy="1731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71730"/>
    <xdr:sp macro="" textlink="">
      <xdr:nvSpPr>
        <xdr:cNvPr id="440" name="AutoShape 175" descr="+">
          <a:extLst>
            <a:ext uri="{FF2B5EF4-FFF2-40B4-BE49-F238E27FC236}">
              <a16:creationId xmlns:a16="http://schemas.microsoft.com/office/drawing/2014/main" id="{F083D907-66CC-4E73-9425-BD4B94EA0927}"/>
            </a:ext>
          </a:extLst>
        </xdr:cNvPr>
        <xdr:cNvSpPr>
          <a:spLocks noChangeAspect="1" noChangeArrowheads="1"/>
        </xdr:cNvSpPr>
      </xdr:nvSpPr>
      <xdr:spPr bwMode="auto">
        <a:xfrm>
          <a:off x="1885950" y="2695575"/>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09"/>
    <xdr:sp macro="" textlink="">
      <xdr:nvSpPr>
        <xdr:cNvPr id="441" name="AutoShape 176" descr="+">
          <a:extLst>
            <a:ext uri="{FF2B5EF4-FFF2-40B4-BE49-F238E27FC236}">
              <a16:creationId xmlns:a16="http://schemas.microsoft.com/office/drawing/2014/main" id="{80B16DD7-2876-4054-9670-97FDCD8E02E9}"/>
            </a:ext>
          </a:extLst>
        </xdr:cNvPr>
        <xdr:cNvSpPr>
          <a:spLocks noChangeAspect="1" noChangeArrowheads="1"/>
        </xdr:cNvSpPr>
      </xdr:nvSpPr>
      <xdr:spPr bwMode="auto">
        <a:xfrm>
          <a:off x="1885950" y="2695575"/>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2"/>
    <xdr:sp macro="" textlink="">
      <xdr:nvSpPr>
        <xdr:cNvPr id="442" name="AutoShape 177" descr="+">
          <a:extLst>
            <a:ext uri="{FF2B5EF4-FFF2-40B4-BE49-F238E27FC236}">
              <a16:creationId xmlns:a16="http://schemas.microsoft.com/office/drawing/2014/main" id="{34580B51-2839-460A-9D37-289CC370F513}"/>
            </a:ext>
          </a:extLst>
        </xdr:cNvPr>
        <xdr:cNvSpPr>
          <a:spLocks noChangeAspect="1" noChangeArrowheads="1"/>
        </xdr:cNvSpPr>
      </xdr:nvSpPr>
      <xdr:spPr bwMode="auto">
        <a:xfrm>
          <a:off x="1885950" y="2695575"/>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2"/>
    <xdr:sp macro="" textlink="">
      <xdr:nvSpPr>
        <xdr:cNvPr id="443" name="AutoShape 178" descr="+">
          <a:extLst>
            <a:ext uri="{FF2B5EF4-FFF2-40B4-BE49-F238E27FC236}">
              <a16:creationId xmlns:a16="http://schemas.microsoft.com/office/drawing/2014/main" id="{FEAA46A0-7884-4DC4-8F92-2FCF5F94BAC5}"/>
            </a:ext>
          </a:extLst>
        </xdr:cNvPr>
        <xdr:cNvSpPr>
          <a:spLocks noChangeAspect="1" noChangeArrowheads="1"/>
        </xdr:cNvSpPr>
      </xdr:nvSpPr>
      <xdr:spPr bwMode="auto">
        <a:xfrm>
          <a:off x="1885950" y="2695575"/>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71730"/>
    <xdr:sp macro="" textlink="">
      <xdr:nvSpPr>
        <xdr:cNvPr id="444" name="AutoShape 179" descr="+">
          <a:extLst>
            <a:ext uri="{FF2B5EF4-FFF2-40B4-BE49-F238E27FC236}">
              <a16:creationId xmlns:a16="http://schemas.microsoft.com/office/drawing/2014/main" id="{8DC31C62-14A3-429E-A331-C1819C372F82}"/>
            </a:ext>
          </a:extLst>
        </xdr:cNvPr>
        <xdr:cNvSpPr>
          <a:spLocks noChangeAspect="1" noChangeArrowheads="1"/>
        </xdr:cNvSpPr>
      </xdr:nvSpPr>
      <xdr:spPr bwMode="auto">
        <a:xfrm>
          <a:off x="1885950" y="2695575"/>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91462"/>
    <xdr:sp macro="" textlink="">
      <xdr:nvSpPr>
        <xdr:cNvPr id="445" name="AutoShape 180" descr="+">
          <a:extLst>
            <a:ext uri="{FF2B5EF4-FFF2-40B4-BE49-F238E27FC236}">
              <a16:creationId xmlns:a16="http://schemas.microsoft.com/office/drawing/2014/main" id="{59F6A712-4E83-478A-BE0F-B1C9476112BA}"/>
            </a:ext>
          </a:extLst>
        </xdr:cNvPr>
        <xdr:cNvSpPr>
          <a:spLocks noChangeAspect="1" noChangeArrowheads="1"/>
        </xdr:cNvSpPr>
      </xdr:nvSpPr>
      <xdr:spPr bwMode="auto">
        <a:xfrm>
          <a:off x="1885950" y="2695575"/>
          <a:ext cx="304800" cy="19146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08"/>
    <xdr:sp macro="" textlink="">
      <xdr:nvSpPr>
        <xdr:cNvPr id="446" name="AutoShape 181" descr="+">
          <a:extLst>
            <a:ext uri="{FF2B5EF4-FFF2-40B4-BE49-F238E27FC236}">
              <a16:creationId xmlns:a16="http://schemas.microsoft.com/office/drawing/2014/main" id="{1D672B4E-D63A-4238-9C75-7D1631C985C4}"/>
            </a:ext>
          </a:extLst>
        </xdr:cNvPr>
        <xdr:cNvSpPr>
          <a:spLocks noChangeAspect="1" noChangeArrowheads="1"/>
        </xdr:cNvSpPr>
      </xdr:nvSpPr>
      <xdr:spPr bwMode="auto">
        <a:xfrm>
          <a:off x="1885950" y="2695575"/>
          <a:ext cx="304800" cy="21050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9916"/>
    <xdr:sp macro="" textlink="">
      <xdr:nvSpPr>
        <xdr:cNvPr id="447" name="AutoShape 182" descr="+">
          <a:extLst>
            <a:ext uri="{FF2B5EF4-FFF2-40B4-BE49-F238E27FC236}">
              <a16:creationId xmlns:a16="http://schemas.microsoft.com/office/drawing/2014/main" id="{ADDCC334-F2E5-46DB-9994-74449652876B}"/>
            </a:ext>
          </a:extLst>
        </xdr:cNvPr>
        <xdr:cNvSpPr>
          <a:spLocks noChangeAspect="1" noChangeArrowheads="1"/>
        </xdr:cNvSpPr>
      </xdr:nvSpPr>
      <xdr:spPr bwMode="auto">
        <a:xfrm>
          <a:off x="1885950" y="2695575"/>
          <a:ext cx="304800" cy="30991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2"/>
    <xdr:sp macro="" textlink="">
      <xdr:nvSpPr>
        <xdr:cNvPr id="448" name="AutoShape 183" descr="+">
          <a:extLst>
            <a:ext uri="{FF2B5EF4-FFF2-40B4-BE49-F238E27FC236}">
              <a16:creationId xmlns:a16="http://schemas.microsoft.com/office/drawing/2014/main" id="{9E9A65A0-4509-48AA-9BEE-06A75F6DC559}"/>
            </a:ext>
          </a:extLst>
        </xdr:cNvPr>
        <xdr:cNvSpPr>
          <a:spLocks noChangeAspect="1" noChangeArrowheads="1"/>
        </xdr:cNvSpPr>
      </xdr:nvSpPr>
      <xdr:spPr bwMode="auto">
        <a:xfrm>
          <a:off x="1885950" y="2695575"/>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2"/>
    <xdr:sp macro="" textlink="">
      <xdr:nvSpPr>
        <xdr:cNvPr id="449" name="AutoShape 184" descr="+">
          <a:extLst>
            <a:ext uri="{FF2B5EF4-FFF2-40B4-BE49-F238E27FC236}">
              <a16:creationId xmlns:a16="http://schemas.microsoft.com/office/drawing/2014/main" id="{D347A85C-0B13-45A0-A1B8-9769D99F01C6}"/>
            </a:ext>
          </a:extLst>
        </xdr:cNvPr>
        <xdr:cNvSpPr>
          <a:spLocks noChangeAspect="1" noChangeArrowheads="1"/>
        </xdr:cNvSpPr>
      </xdr:nvSpPr>
      <xdr:spPr bwMode="auto">
        <a:xfrm>
          <a:off x="1885950" y="2695575"/>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04109"/>
    <xdr:sp macro="" textlink="">
      <xdr:nvSpPr>
        <xdr:cNvPr id="450" name="AutoShape 185" descr="+">
          <a:extLst>
            <a:ext uri="{FF2B5EF4-FFF2-40B4-BE49-F238E27FC236}">
              <a16:creationId xmlns:a16="http://schemas.microsoft.com/office/drawing/2014/main" id="{3FBCEAA1-1854-47F9-A3D2-0637D89B5A84}"/>
            </a:ext>
          </a:extLst>
        </xdr:cNvPr>
        <xdr:cNvSpPr>
          <a:spLocks noChangeAspect="1" noChangeArrowheads="1"/>
        </xdr:cNvSpPr>
      </xdr:nvSpPr>
      <xdr:spPr bwMode="auto">
        <a:xfrm>
          <a:off x="1885950" y="2695575"/>
          <a:ext cx="304800" cy="2041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76492"/>
    <xdr:sp macro="" textlink="">
      <xdr:nvSpPr>
        <xdr:cNvPr id="451" name="AutoShape 186" descr="+">
          <a:extLst>
            <a:ext uri="{FF2B5EF4-FFF2-40B4-BE49-F238E27FC236}">
              <a16:creationId xmlns:a16="http://schemas.microsoft.com/office/drawing/2014/main" id="{9304928B-AA65-4DE4-9CE0-BA9F61861C06}"/>
            </a:ext>
          </a:extLst>
        </xdr:cNvPr>
        <xdr:cNvSpPr>
          <a:spLocks noChangeAspect="1" noChangeArrowheads="1"/>
        </xdr:cNvSpPr>
      </xdr:nvSpPr>
      <xdr:spPr bwMode="auto">
        <a:xfrm>
          <a:off x="1885950" y="2695575"/>
          <a:ext cx="304800" cy="1764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71731"/>
    <xdr:sp macro="" textlink="">
      <xdr:nvSpPr>
        <xdr:cNvPr id="452" name="AutoShape 187" descr="+">
          <a:extLst>
            <a:ext uri="{FF2B5EF4-FFF2-40B4-BE49-F238E27FC236}">
              <a16:creationId xmlns:a16="http://schemas.microsoft.com/office/drawing/2014/main" id="{1DB4D118-ADEA-4D1B-981C-7F8149FEF15A}"/>
            </a:ext>
          </a:extLst>
        </xdr:cNvPr>
        <xdr:cNvSpPr>
          <a:spLocks noChangeAspect="1" noChangeArrowheads="1"/>
        </xdr:cNvSpPr>
      </xdr:nvSpPr>
      <xdr:spPr bwMode="auto">
        <a:xfrm>
          <a:off x="1885950" y="2695575"/>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3"/>
    <xdr:sp macro="" textlink="">
      <xdr:nvSpPr>
        <xdr:cNvPr id="453" name="AutoShape 188" descr="+">
          <a:extLst>
            <a:ext uri="{FF2B5EF4-FFF2-40B4-BE49-F238E27FC236}">
              <a16:creationId xmlns:a16="http://schemas.microsoft.com/office/drawing/2014/main" id="{1617E74F-8B2E-467B-8AA3-3FFB43E24549}"/>
            </a:ext>
          </a:extLst>
        </xdr:cNvPr>
        <xdr:cNvSpPr>
          <a:spLocks noChangeAspect="1" noChangeArrowheads="1"/>
        </xdr:cNvSpPr>
      </xdr:nvSpPr>
      <xdr:spPr bwMode="auto">
        <a:xfrm>
          <a:off x="1885950" y="2695575"/>
          <a:ext cx="304800" cy="2105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1"/>
    <xdr:sp macro="" textlink="">
      <xdr:nvSpPr>
        <xdr:cNvPr id="454" name="AutoShape 189" descr="+">
          <a:extLst>
            <a:ext uri="{FF2B5EF4-FFF2-40B4-BE49-F238E27FC236}">
              <a16:creationId xmlns:a16="http://schemas.microsoft.com/office/drawing/2014/main" id="{A08F4EE6-3E6F-41C8-831B-BEA36191FAE7}"/>
            </a:ext>
          </a:extLst>
        </xdr:cNvPr>
        <xdr:cNvSpPr>
          <a:spLocks noChangeAspect="1" noChangeArrowheads="1"/>
        </xdr:cNvSpPr>
      </xdr:nvSpPr>
      <xdr:spPr bwMode="auto">
        <a:xfrm>
          <a:off x="1885950" y="269557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72409"/>
    <xdr:sp macro="" textlink="">
      <xdr:nvSpPr>
        <xdr:cNvPr id="455" name="AutoShape 190" descr="+">
          <a:extLst>
            <a:ext uri="{FF2B5EF4-FFF2-40B4-BE49-F238E27FC236}">
              <a16:creationId xmlns:a16="http://schemas.microsoft.com/office/drawing/2014/main" id="{5182677D-04FB-4A1B-B8AD-CDD2863088A8}"/>
            </a:ext>
          </a:extLst>
        </xdr:cNvPr>
        <xdr:cNvSpPr>
          <a:spLocks noChangeAspect="1" noChangeArrowheads="1"/>
        </xdr:cNvSpPr>
      </xdr:nvSpPr>
      <xdr:spPr bwMode="auto">
        <a:xfrm>
          <a:off x="1885950" y="2695575"/>
          <a:ext cx="304800" cy="1724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1"/>
    <xdr:sp macro="" textlink="">
      <xdr:nvSpPr>
        <xdr:cNvPr id="456" name="AutoShape 191" descr="+">
          <a:extLst>
            <a:ext uri="{FF2B5EF4-FFF2-40B4-BE49-F238E27FC236}">
              <a16:creationId xmlns:a16="http://schemas.microsoft.com/office/drawing/2014/main" id="{5C335561-3835-44CE-AE73-9050189CB548}"/>
            </a:ext>
          </a:extLst>
        </xdr:cNvPr>
        <xdr:cNvSpPr>
          <a:spLocks noChangeAspect="1" noChangeArrowheads="1"/>
        </xdr:cNvSpPr>
      </xdr:nvSpPr>
      <xdr:spPr bwMode="auto">
        <a:xfrm>
          <a:off x="1885950" y="269557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76492"/>
    <xdr:sp macro="" textlink="">
      <xdr:nvSpPr>
        <xdr:cNvPr id="457" name="AutoShape 192" descr="+">
          <a:extLst>
            <a:ext uri="{FF2B5EF4-FFF2-40B4-BE49-F238E27FC236}">
              <a16:creationId xmlns:a16="http://schemas.microsoft.com/office/drawing/2014/main" id="{3C3730FF-C3F8-43A1-9EB3-5065D96E54BE}"/>
            </a:ext>
          </a:extLst>
        </xdr:cNvPr>
        <xdr:cNvSpPr>
          <a:spLocks noChangeAspect="1" noChangeArrowheads="1"/>
        </xdr:cNvSpPr>
      </xdr:nvSpPr>
      <xdr:spPr bwMode="auto">
        <a:xfrm>
          <a:off x="1885950" y="2695575"/>
          <a:ext cx="304800" cy="1764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2"/>
    <xdr:sp macro="" textlink="">
      <xdr:nvSpPr>
        <xdr:cNvPr id="458" name="AutoShape 193" descr="+">
          <a:extLst>
            <a:ext uri="{FF2B5EF4-FFF2-40B4-BE49-F238E27FC236}">
              <a16:creationId xmlns:a16="http://schemas.microsoft.com/office/drawing/2014/main" id="{D69384D3-8658-487E-997F-62F8199135EC}"/>
            </a:ext>
          </a:extLst>
        </xdr:cNvPr>
        <xdr:cNvSpPr>
          <a:spLocks noChangeAspect="1" noChangeArrowheads="1"/>
        </xdr:cNvSpPr>
      </xdr:nvSpPr>
      <xdr:spPr bwMode="auto">
        <a:xfrm>
          <a:off x="1885950" y="2695575"/>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2"/>
    <xdr:sp macro="" textlink="">
      <xdr:nvSpPr>
        <xdr:cNvPr id="459" name="AutoShape 194" descr="+">
          <a:extLst>
            <a:ext uri="{FF2B5EF4-FFF2-40B4-BE49-F238E27FC236}">
              <a16:creationId xmlns:a16="http://schemas.microsoft.com/office/drawing/2014/main" id="{C9708E1F-5AE4-4C47-B5D9-3E63DDBE9787}"/>
            </a:ext>
          </a:extLst>
        </xdr:cNvPr>
        <xdr:cNvSpPr>
          <a:spLocks noChangeAspect="1" noChangeArrowheads="1"/>
        </xdr:cNvSpPr>
      </xdr:nvSpPr>
      <xdr:spPr bwMode="auto">
        <a:xfrm>
          <a:off x="1885950" y="2695575"/>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81936"/>
    <xdr:sp macro="" textlink="">
      <xdr:nvSpPr>
        <xdr:cNvPr id="460" name="AutoShape 195" descr="+">
          <a:extLst>
            <a:ext uri="{FF2B5EF4-FFF2-40B4-BE49-F238E27FC236}">
              <a16:creationId xmlns:a16="http://schemas.microsoft.com/office/drawing/2014/main" id="{613FAB76-8CDD-475A-B3E4-9186B7AA5866}"/>
            </a:ext>
          </a:extLst>
        </xdr:cNvPr>
        <xdr:cNvSpPr>
          <a:spLocks noChangeAspect="1" noChangeArrowheads="1"/>
        </xdr:cNvSpPr>
      </xdr:nvSpPr>
      <xdr:spPr bwMode="auto">
        <a:xfrm>
          <a:off x="1885950" y="2695575"/>
          <a:ext cx="304800" cy="18193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00704"/>
    <xdr:sp macro="" textlink="">
      <xdr:nvSpPr>
        <xdr:cNvPr id="461" name="AutoShape 196" descr="+">
          <a:extLst>
            <a:ext uri="{FF2B5EF4-FFF2-40B4-BE49-F238E27FC236}">
              <a16:creationId xmlns:a16="http://schemas.microsoft.com/office/drawing/2014/main" id="{1B18E2C8-F62A-46EB-AC8D-178421DC1380}"/>
            </a:ext>
          </a:extLst>
        </xdr:cNvPr>
        <xdr:cNvSpPr>
          <a:spLocks noChangeAspect="1" noChangeArrowheads="1"/>
        </xdr:cNvSpPr>
      </xdr:nvSpPr>
      <xdr:spPr bwMode="auto">
        <a:xfrm>
          <a:off x="1885950" y="2695575"/>
          <a:ext cx="304800" cy="20070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462" name="AutoShape 197" descr="+">
          <a:extLst>
            <a:ext uri="{FF2B5EF4-FFF2-40B4-BE49-F238E27FC236}">
              <a16:creationId xmlns:a16="http://schemas.microsoft.com/office/drawing/2014/main" id="{C879937A-5CA6-43E6-9BC3-67B0AB63A2C8}"/>
            </a:ext>
          </a:extLst>
        </xdr:cNvPr>
        <xdr:cNvSpPr>
          <a:spLocks noChangeAspect="1" noChangeArrowheads="1"/>
        </xdr:cNvSpPr>
      </xdr:nvSpPr>
      <xdr:spPr bwMode="auto">
        <a:xfrm>
          <a:off x="1885950" y="2695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71730"/>
    <xdr:sp macro="" textlink="">
      <xdr:nvSpPr>
        <xdr:cNvPr id="463" name="AutoShape 198" descr="+">
          <a:extLst>
            <a:ext uri="{FF2B5EF4-FFF2-40B4-BE49-F238E27FC236}">
              <a16:creationId xmlns:a16="http://schemas.microsoft.com/office/drawing/2014/main" id="{AAEE65AB-E88B-4DB3-9BC8-1345F817D277}"/>
            </a:ext>
          </a:extLst>
        </xdr:cNvPr>
        <xdr:cNvSpPr>
          <a:spLocks noChangeAspect="1" noChangeArrowheads="1"/>
        </xdr:cNvSpPr>
      </xdr:nvSpPr>
      <xdr:spPr bwMode="auto">
        <a:xfrm>
          <a:off x="1885950" y="2695575"/>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71732"/>
    <xdr:sp macro="" textlink="">
      <xdr:nvSpPr>
        <xdr:cNvPr id="464" name="AutoShape 199" descr="+">
          <a:extLst>
            <a:ext uri="{FF2B5EF4-FFF2-40B4-BE49-F238E27FC236}">
              <a16:creationId xmlns:a16="http://schemas.microsoft.com/office/drawing/2014/main" id="{597B05E0-E587-44F6-B331-6E2474E19315}"/>
            </a:ext>
          </a:extLst>
        </xdr:cNvPr>
        <xdr:cNvSpPr>
          <a:spLocks noChangeAspect="1" noChangeArrowheads="1"/>
        </xdr:cNvSpPr>
      </xdr:nvSpPr>
      <xdr:spPr bwMode="auto">
        <a:xfrm>
          <a:off x="1885950" y="2695575"/>
          <a:ext cx="304800" cy="17173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83470"/>
    <xdr:sp macro="" textlink="">
      <xdr:nvSpPr>
        <xdr:cNvPr id="465" name="AutoShape 200" descr="+">
          <a:extLst>
            <a:ext uri="{FF2B5EF4-FFF2-40B4-BE49-F238E27FC236}">
              <a16:creationId xmlns:a16="http://schemas.microsoft.com/office/drawing/2014/main" id="{9366DA6F-446B-46CA-851F-71E1DC8F47B5}"/>
            </a:ext>
          </a:extLst>
        </xdr:cNvPr>
        <xdr:cNvSpPr>
          <a:spLocks noChangeAspect="1" noChangeArrowheads="1"/>
        </xdr:cNvSpPr>
      </xdr:nvSpPr>
      <xdr:spPr bwMode="auto">
        <a:xfrm>
          <a:off x="1885950" y="2695575"/>
          <a:ext cx="304800" cy="1834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71731"/>
    <xdr:sp macro="" textlink="">
      <xdr:nvSpPr>
        <xdr:cNvPr id="466" name="AutoShape 201" descr="+">
          <a:extLst>
            <a:ext uri="{FF2B5EF4-FFF2-40B4-BE49-F238E27FC236}">
              <a16:creationId xmlns:a16="http://schemas.microsoft.com/office/drawing/2014/main" id="{0741E6CD-0368-4F71-8DA1-D34E053F99B5}"/>
            </a:ext>
          </a:extLst>
        </xdr:cNvPr>
        <xdr:cNvSpPr>
          <a:spLocks noChangeAspect="1" noChangeArrowheads="1"/>
        </xdr:cNvSpPr>
      </xdr:nvSpPr>
      <xdr:spPr bwMode="auto">
        <a:xfrm>
          <a:off x="1885950" y="2695575"/>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2"/>
    <xdr:sp macro="" textlink="">
      <xdr:nvSpPr>
        <xdr:cNvPr id="467" name="AutoShape 202" descr="+">
          <a:extLst>
            <a:ext uri="{FF2B5EF4-FFF2-40B4-BE49-F238E27FC236}">
              <a16:creationId xmlns:a16="http://schemas.microsoft.com/office/drawing/2014/main" id="{714347C8-4860-411F-8817-54B58C96D0BC}"/>
            </a:ext>
          </a:extLst>
        </xdr:cNvPr>
        <xdr:cNvSpPr>
          <a:spLocks noChangeAspect="1" noChangeArrowheads="1"/>
        </xdr:cNvSpPr>
      </xdr:nvSpPr>
      <xdr:spPr bwMode="auto">
        <a:xfrm>
          <a:off x="1885950" y="2695575"/>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0"/>
    <xdr:sp macro="" textlink="">
      <xdr:nvSpPr>
        <xdr:cNvPr id="468" name="AutoShape 203" descr="+">
          <a:extLst>
            <a:ext uri="{FF2B5EF4-FFF2-40B4-BE49-F238E27FC236}">
              <a16:creationId xmlns:a16="http://schemas.microsoft.com/office/drawing/2014/main" id="{0A9DC0B4-3B5C-4E1B-9737-DA2A59C28029}"/>
            </a:ext>
          </a:extLst>
        </xdr:cNvPr>
        <xdr:cNvSpPr>
          <a:spLocks noChangeAspect="1" noChangeArrowheads="1"/>
        </xdr:cNvSpPr>
      </xdr:nvSpPr>
      <xdr:spPr bwMode="auto">
        <a:xfrm>
          <a:off x="1885950" y="269557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0"/>
    <xdr:sp macro="" textlink="">
      <xdr:nvSpPr>
        <xdr:cNvPr id="469" name="AutoShape 204" descr="+">
          <a:extLst>
            <a:ext uri="{FF2B5EF4-FFF2-40B4-BE49-F238E27FC236}">
              <a16:creationId xmlns:a16="http://schemas.microsoft.com/office/drawing/2014/main" id="{A0C06910-52A6-4562-9111-63CF39361E98}"/>
            </a:ext>
          </a:extLst>
        </xdr:cNvPr>
        <xdr:cNvSpPr>
          <a:spLocks noChangeAspect="1" noChangeArrowheads="1"/>
        </xdr:cNvSpPr>
      </xdr:nvSpPr>
      <xdr:spPr bwMode="auto">
        <a:xfrm>
          <a:off x="1885950" y="269557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2"/>
    <xdr:sp macro="" textlink="">
      <xdr:nvSpPr>
        <xdr:cNvPr id="470" name="AutoShape 205" descr="+">
          <a:extLst>
            <a:ext uri="{FF2B5EF4-FFF2-40B4-BE49-F238E27FC236}">
              <a16:creationId xmlns:a16="http://schemas.microsoft.com/office/drawing/2014/main" id="{9F68A162-862F-4267-8659-C93BFDFCE01E}"/>
            </a:ext>
          </a:extLst>
        </xdr:cNvPr>
        <xdr:cNvSpPr>
          <a:spLocks noChangeAspect="1" noChangeArrowheads="1"/>
        </xdr:cNvSpPr>
      </xdr:nvSpPr>
      <xdr:spPr bwMode="auto">
        <a:xfrm>
          <a:off x="1885950" y="2695575"/>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71730"/>
    <xdr:sp macro="" textlink="">
      <xdr:nvSpPr>
        <xdr:cNvPr id="471" name="AutoShape 206" descr="+">
          <a:extLst>
            <a:ext uri="{FF2B5EF4-FFF2-40B4-BE49-F238E27FC236}">
              <a16:creationId xmlns:a16="http://schemas.microsoft.com/office/drawing/2014/main" id="{228A02BB-43C9-4D3A-AE31-261182A077E3}"/>
            </a:ext>
          </a:extLst>
        </xdr:cNvPr>
        <xdr:cNvSpPr>
          <a:spLocks noChangeAspect="1" noChangeArrowheads="1"/>
        </xdr:cNvSpPr>
      </xdr:nvSpPr>
      <xdr:spPr bwMode="auto">
        <a:xfrm>
          <a:off x="1885950" y="2695575"/>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81937"/>
    <xdr:sp macro="" textlink="">
      <xdr:nvSpPr>
        <xdr:cNvPr id="472" name="AutoShape 207" descr="+">
          <a:extLst>
            <a:ext uri="{FF2B5EF4-FFF2-40B4-BE49-F238E27FC236}">
              <a16:creationId xmlns:a16="http://schemas.microsoft.com/office/drawing/2014/main" id="{AF56578F-BF23-44DD-BDDF-4306221ED41F}"/>
            </a:ext>
          </a:extLst>
        </xdr:cNvPr>
        <xdr:cNvSpPr>
          <a:spLocks noChangeAspect="1" noChangeArrowheads="1"/>
        </xdr:cNvSpPr>
      </xdr:nvSpPr>
      <xdr:spPr bwMode="auto">
        <a:xfrm>
          <a:off x="1885950" y="2695575"/>
          <a:ext cx="304800" cy="18193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1"/>
    <xdr:sp macro="" textlink="">
      <xdr:nvSpPr>
        <xdr:cNvPr id="473" name="AutoShape 208" descr="+">
          <a:extLst>
            <a:ext uri="{FF2B5EF4-FFF2-40B4-BE49-F238E27FC236}">
              <a16:creationId xmlns:a16="http://schemas.microsoft.com/office/drawing/2014/main" id="{A1FBAF7A-345C-4341-87BB-727B0746AFF4}"/>
            </a:ext>
          </a:extLst>
        </xdr:cNvPr>
        <xdr:cNvSpPr>
          <a:spLocks noChangeAspect="1" noChangeArrowheads="1"/>
        </xdr:cNvSpPr>
      </xdr:nvSpPr>
      <xdr:spPr bwMode="auto">
        <a:xfrm>
          <a:off x="1885950" y="269557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09"/>
    <xdr:sp macro="" textlink="">
      <xdr:nvSpPr>
        <xdr:cNvPr id="474" name="AutoShape 209" descr="+">
          <a:extLst>
            <a:ext uri="{FF2B5EF4-FFF2-40B4-BE49-F238E27FC236}">
              <a16:creationId xmlns:a16="http://schemas.microsoft.com/office/drawing/2014/main" id="{EF16CF8B-789F-4F9D-A943-CC8B169FFB91}"/>
            </a:ext>
          </a:extLst>
        </xdr:cNvPr>
        <xdr:cNvSpPr>
          <a:spLocks noChangeAspect="1" noChangeArrowheads="1"/>
        </xdr:cNvSpPr>
      </xdr:nvSpPr>
      <xdr:spPr bwMode="auto">
        <a:xfrm>
          <a:off x="1885950" y="2695575"/>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91461"/>
    <xdr:sp macro="" textlink="">
      <xdr:nvSpPr>
        <xdr:cNvPr id="475" name="AutoShape 210" descr="+">
          <a:extLst>
            <a:ext uri="{FF2B5EF4-FFF2-40B4-BE49-F238E27FC236}">
              <a16:creationId xmlns:a16="http://schemas.microsoft.com/office/drawing/2014/main" id="{20F49B8C-2080-4B28-8484-0394C1254403}"/>
            </a:ext>
          </a:extLst>
        </xdr:cNvPr>
        <xdr:cNvSpPr>
          <a:spLocks noChangeAspect="1" noChangeArrowheads="1"/>
        </xdr:cNvSpPr>
      </xdr:nvSpPr>
      <xdr:spPr bwMode="auto">
        <a:xfrm>
          <a:off x="1885950" y="2695575"/>
          <a:ext cx="304800" cy="1914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476" name="AutoShape 211" descr="+">
          <a:extLst>
            <a:ext uri="{FF2B5EF4-FFF2-40B4-BE49-F238E27FC236}">
              <a16:creationId xmlns:a16="http://schemas.microsoft.com/office/drawing/2014/main" id="{63ED716E-4A63-44FD-902E-5571599AF4DD}"/>
            </a:ext>
          </a:extLst>
        </xdr:cNvPr>
        <xdr:cNvSpPr>
          <a:spLocks noChangeAspect="1" noChangeArrowheads="1"/>
        </xdr:cNvSpPr>
      </xdr:nvSpPr>
      <xdr:spPr bwMode="auto">
        <a:xfrm>
          <a:off x="1885950" y="2695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76830"/>
    <xdr:sp macro="" textlink="">
      <xdr:nvSpPr>
        <xdr:cNvPr id="477" name="AutoShape 212" descr="+">
          <a:extLst>
            <a:ext uri="{FF2B5EF4-FFF2-40B4-BE49-F238E27FC236}">
              <a16:creationId xmlns:a16="http://schemas.microsoft.com/office/drawing/2014/main" id="{B061D26E-7838-47D3-9F56-BF40D91D7CCF}"/>
            </a:ext>
          </a:extLst>
        </xdr:cNvPr>
        <xdr:cNvSpPr>
          <a:spLocks noChangeAspect="1" noChangeArrowheads="1"/>
        </xdr:cNvSpPr>
      </xdr:nvSpPr>
      <xdr:spPr bwMode="auto">
        <a:xfrm>
          <a:off x="1885950" y="2695575"/>
          <a:ext cx="304800" cy="2768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73131"/>
    <xdr:sp macro="" textlink="">
      <xdr:nvSpPr>
        <xdr:cNvPr id="478" name="AutoShape 213" descr="+">
          <a:extLst>
            <a:ext uri="{FF2B5EF4-FFF2-40B4-BE49-F238E27FC236}">
              <a16:creationId xmlns:a16="http://schemas.microsoft.com/office/drawing/2014/main" id="{2B453E1B-5D03-49B4-A8EB-E1140E65BBA8}"/>
            </a:ext>
          </a:extLst>
        </xdr:cNvPr>
        <xdr:cNvSpPr>
          <a:spLocks noChangeAspect="1" noChangeArrowheads="1"/>
        </xdr:cNvSpPr>
      </xdr:nvSpPr>
      <xdr:spPr bwMode="auto">
        <a:xfrm>
          <a:off x="1885950" y="2695575"/>
          <a:ext cx="304800" cy="1731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0"/>
    <xdr:sp macro="" textlink="">
      <xdr:nvSpPr>
        <xdr:cNvPr id="479" name="AutoShape 214" descr="+">
          <a:extLst>
            <a:ext uri="{FF2B5EF4-FFF2-40B4-BE49-F238E27FC236}">
              <a16:creationId xmlns:a16="http://schemas.microsoft.com/office/drawing/2014/main" id="{C6DCFE28-DC2B-4680-8D31-1B1BA6DD0574}"/>
            </a:ext>
          </a:extLst>
        </xdr:cNvPr>
        <xdr:cNvSpPr>
          <a:spLocks noChangeAspect="1" noChangeArrowheads="1"/>
        </xdr:cNvSpPr>
      </xdr:nvSpPr>
      <xdr:spPr bwMode="auto">
        <a:xfrm>
          <a:off x="1885950" y="269557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2"/>
    <xdr:sp macro="" textlink="">
      <xdr:nvSpPr>
        <xdr:cNvPr id="480" name="AutoShape 215" descr="+">
          <a:extLst>
            <a:ext uri="{FF2B5EF4-FFF2-40B4-BE49-F238E27FC236}">
              <a16:creationId xmlns:a16="http://schemas.microsoft.com/office/drawing/2014/main" id="{D0ADE2A6-ADE5-45B9-9F43-8843964DB64B}"/>
            </a:ext>
          </a:extLst>
        </xdr:cNvPr>
        <xdr:cNvSpPr>
          <a:spLocks noChangeAspect="1" noChangeArrowheads="1"/>
        </xdr:cNvSpPr>
      </xdr:nvSpPr>
      <xdr:spPr bwMode="auto">
        <a:xfrm>
          <a:off x="1885950" y="2695575"/>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03090"/>
    <xdr:sp macro="" textlink="">
      <xdr:nvSpPr>
        <xdr:cNvPr id="481" name="AutoShape 216" descr="+">
          <a:extLst>
            <a:ext uri="{FF2B5EF4-FFF2-40B4-BE49-F238E27FC236}">
              <a16:creationId xmlns:a16="http://schemas.microsoft.com/office/drawing/2014/main" id="{634C478E-94BF-4F6D-B748-537618C8AD4D}"/>
            </a:ext>
          </a:extLst>
        </xdr:cNvPr>
        <xdr:cNvSpPr>
          <a:spLocks noChangeAspect="1" noChangeArrowheads="1"/>
        </xdr:cNvSpPr>
      </xdr:nvSpPr>
      <xdr:spPr bwMode="auto">
        <a:xfrm>
          <a:off x="1885950" y="2695575"/>
          <a:ext cx="304800" cy="2030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71730"/>
    <xdr:sp macro="" textlink="">
      <xdr:nvSpPr>
        <xdr:cNvPr id="482" name="AutoShape 217" descr="+">
          <a:extLst>
            <a:ext uri="{FF2B5EF4-FFF2-40B4-BE49-F238E27FC236}">
              <a16:creationId xmlns:a16="http://schemas.microsoft.com/office/drawing/2014/main" id="{00F06690-9277-4FBA-B504-4469957CBD60}"/>
            </a:ext>
          </a:extLst>
        </xdr:cNvPr>
        <xdr:cNvSpPr>
          <a:spLocks noChangeAspect="1" noChangeArrowheads="1"/>
        </xdr:cNvSpPr>
      </xdr:nvSpPr>
      <xdr:spPr bwMode="auto">
        <a:xfrm>
          <a:off x="1885950" y="2695575"/>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71731"/>
    <xdr:sp macro="" textlink="">
      <xdr:nvSpPr>
        <xdr:cNvPr id="483" name="AutoShape 218" descr="+">
          <a:extLst>
            <a:ext uri="{FF2B5EF4-FFF2-40B4-BE49-F238E27FC236}">
              <a16:creationId xmlns:a16="http://schemas.microsoft.com/office/drawing/2014/main" id="{D3F54FD5-DF59-453E-9E74-5A0E2B3894A0}"/>
            </a:ext>
          </a:extLst>
        </xdr:cNvPr>
        <xdr:cNvSpPr>
          <a:spLocks noChangeAspect="1" noChangeArrowheads="1"/>
        </xdr:cNvSpPr>
      </xdr:nvSpPr>
      <xdr:spPr bwMode="auto">
        <a:xfrm>
          <a:off x="1885950" y="2695575"/>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86697"/>
    <xdr:sp macro="" textlink="">
      <xdr:nvSpPr>
        <xdr:cNvPr id="484" name="AutoShape 219" descr="+">
          <a:extLst>
            <a:ext uri="{FF2B5EF4-FFF2-40B4-BE49-F238E27FC236}">
              <a16:creationId xmlns:a16="http://schemas.microsoft.com/office/drawing/2014/main" id="{631B12A1-7BC2-4B38-A304-8DA036D03AE2}"/>
            </a:ext>
          </a:extLst>
        </xdr:cNvPr>
        <xdr:cNvSpPr>
          <a:spLocks noChangeAspect="1" noChangeArrowheads="1"/>
        </xdr:cNvSpPr>
      </xdr:nvSpPr>
      <xdr:spPr bwMode="auto">
        <a:xfrm>
          <a:off x="1885950" y="2695575"/>
          <a:ext cx="304800" cy="18669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71731"/>
    <xdr:sp macro="" textlink="">
      <xdr:nvSpPr>
        <xdr:cNvPr id="485" name="AutoShape 220" descr="+">
          <a:extLst>
            <a:ext uri="{FF2B5EF4-FFF2-40B4-BE49-F238E27FC236}">
              <a16:creationId xmlns:a16="http://schemas.microsoft.com/office/drawing/2014/main" id="{64EEFE36-FC25-494F-B430-ECD05F4AD8EA}"/>
            </a:ext>
          </a:extLst>
        </xdr:cNvPr>
        <xdr:cNvSpPr>
          <a:spLocks noChangeAspect="1" noChangeArrowheads="1"/>
        </xdr:cNvSpPr>
      </xdr:nvSpPr>
      <xdr:spPr bwMode="auto">
        <a:xfrm>
          <a:off x="1885950" y="2695575"/>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2"/>
    <xdr:sp macro="" textlink="">
      <xdr:nvSpPr>
        <xdr:cNvPr id="486" name="AutoShape 221" descr="+">
          <a:extLst>
            <a:ext uri="{FF2B5EF4-FFF2-40B4-BE49-F238E27FC236}">
              <a16:creationId xmlns:a16="http://schemas.microsoft.com/office/drawing/2014/main" id="{241BC777-C9B6-487C-A8C9-056EA8AE15C2}"/>
            </a:ext>
          </a:extLst>
        </xdr:cNvPr>
        <xdr:cNvSpPr>
          <a:spLocks noChangeAspect="1" noChangeArrowheads="1"/>
        </xdr:cNvSpPr>
      </xdr:nvSpPr>
      <xdr:spPr bwMode="auto">
        <a:xfrm>
          <a:off x="1885950" y="2695575"/>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2"/>
    <xdr:sp macro="" textlink="">
      <xdr:nvSpPr>
        <xdr:cNvPr id="487" name="AutoShape 222" descr="+">
          <a:extLst>
            <a:ext uri="{FF2B5EF4-FFF2-40B4-BE49-F238E27FC236}">
              <a16:creationId xmlns:a16="http://schemas.microsoft.com/office/drawing/2014/main" id="{C78B6AB7-F79C-4E68-8B19-1EC418D3DC3C}"/>
            </a:ext>
          </a:extLst>
        </xdr:cNvPr>
        <xdr:cNvSpPr>
          <a:spLocks noChangeAspect="1" noChangeArrowheads="1"/>
        </xdr:cNvSpPr>
      </xdr:nvSpPr>
      <xdr:spPr bwMode="auto">
        <a:xfrm>
          <a:off x="1885950" y="2695575"/>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0"/>
    <xdr:sp macro="" textlink="">
      <xdr:nvSpPr>
        <xdr:cNvPr id="488" name="AutoShape 223" descr="+">
          <a:extLst>
            <a:ext uri="{FF2B5EF4-FFF2-40B4-BE49-F238E27FC236}">
              <a16:creationId xmlns:a16="http://schemas.microsoft.com/office/drawing/2014/main" id="{840555B1-3532-46DE-82F7-0F6B28ADE2F2}"/>
            </a:ext>
          </a:extLst>
        </xdr:cNvPr>
        <xdr:cNvSpPr>
          <a:spLocks noChangeAspect="1" noChangeArrowheads="1"/>
        </xdr:cNvSpPr>
      </xdr:nvSpPr>
      <xdr:spPr bwMode="auto">
        <a:xfrm>
          <a:off x="1885950" y="269557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0"/>
    <xdr:sp macro="" textlink="">
      <xdr:nvSpPr>
        <xdr:cNvPr id="489" name="AutoShape 224" descr="+">
          <a:extLst>
            <a:ext uri="{FF2B5EF4-FFF2-40B4-BE49-F238E27FC236}">
              <a16:creationId xmlns:a16="http://schemas.microsoft.com/office/drawing/2014/main" id="{1DA9E61D-F89F-4837-B2A7-BEF976505565}"/>
            </a:ext>
          </a:extLst>
        </xdr:cNvPr>
        <xdr:cNvSpPr>
          <a:spLocks noChangeAspect="1" noChangeArrowheads="1"/>
        </xdr:cNvSpPr>
      </xdr:nvSpPr>
      <xdr:spPr bwMode="auto">
        <a:xfrm>
          <a:off x="1885950" y="269557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91460"/>
    <xdr:sp macro="" textlink="">
      <xdr:nvSpPr>
        <xdr:cNvPr id="490" name="AutoShape 225" descr="+">
          <a:extLst>
            <a:ext uri="{FF2B5EF4-FFF2-40B4-BE49-F238E27FC236}">
              <a16:creationId xmlns:a16="http://schemas.microsoft.com/office/drawing/2014/main" id="{148B3EED-E147-4DB0-9C8F-A4EC3A73898A}"/>
            </a:ext>
          </a:extLst>
        </xdr:cNvPr>
        <xdr:cNvSpPr>
          <a:spLocks noChangeAspect="1" noChangeArrowheads="1"/>
        </xdr:cNvSpPr>
      </xdr:nvSpPr>
      <xdr:spPr bwMode="auto">
        <a:xfrm>
          <a:off x="1885950" y="2695575"/>
          <a:ext cx="304800" cy="19146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2"/>
    <xdr:sp macro="" textlink="">
      <xdr:nvSpPr>
        <xdr:cNvPr id="491" name="AutoShape 226" descr="+">
          <a:extLst>
            <a:ext uri="{FF2B5EF4-FFF2-40B4-BE49-F238E27FC236}">
              <a16:creationId xmlns:a16="http://schemas.microsoft.com/office/drawing/2014/main" id="{8A590588-34E1-4896-BE34-62771AC22FFA}"/>
            </a:ext>
          </a:extLst>
        </xdr:cNvPr>
        <xdr:cNvSpPr>
          <a:spLocks noChangeAspect="1" noChangeArrowheads="1"/>
        </xdr:cNvSpPr>
      </xdr:nvSpPr>
      <xdr:spPr bwMode="auto">
        <a:xfrm>
          <a:off x="1885950" y="2695575"/>
          <a:ext cx="304800" cy="30480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0"/>
    <xdr:sp macro="" textlink="">
      <xdr:nvSpPr>
        <xdr:cNvPr id="492" name="AutoShape 227" descr="+">
          <a:extLst>
            <a:ext uri="{FF2B5EF4-FFF2-40B4-BE49-F238E27FC236}">
              <a16:creationId xmlns:a16="http://schemas.microsoft.com/office/drawing/2014/main" id="{6FD03CD7-FE06-4234-B3B4-0C202A9C0947}"/>
            </a:ext>
          </a:extLst>
        </xdr:cNvPr>
        <xdr:cNvSpPr>
          <a:spLocks noChangeAspect="1" noChangeArrowheads="1"/>
        </xdr:cNvSpPr>
      </xdr:nvSpPr>
      <xdr:spPr bwMode="auto">
        <a:xfrm>
          <a:off x="1885950" y="269557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1"/>
    <xdr:sp macro="" textlink="">
      <xdr:nvSpPr>
        <xdr:cNvPr id="493" name="AutoShape 228" descr="+">
          <a:extLst>
            <a:ext uri="{FF2B5EF4-FFF2-40B4-BE49-F238E27FC236}">
              <a16:creationId xmlns:a16="http://schemas.microsoft.com/office/drawing/2014/main" id="{4CF2D7E8-2296-4CF2-B6CD-F4E09C8985AC}"/>
            </a:ext>
          </a:extLst>
        </xdr:cNvPr>
        <xdr:cNvSpPr>
          <a:spLocks noChangeAspect="1" noChangeArrowheads="1"/>
        </xdr:cNvSpPr>
      </xdr:nvSpPr>
      <xdr:spPr bwMode="auto">
        <a:xfrm>
          <a:off x="1885950" y="269557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6479"/>
    <xdr:sp macro="" textlink="">
      <xdr:nvSpPr>
        <xdr:cNvPr id="494" name="AutoShape 229" descr="+">
          <a:extLst>
            <a:ext uri="{FF2B5EF4-FFF2-40B4-BE49-F238E27FC236}">
              <a16:creationId xmlns:a16="http://schemas.microsoft.com/office/drawing/2014/main" id="{C106DE18-125D-42EC-8079-9BC0214F3AF8}"/>
            </a:ext>
          </a:extLst>
        </xdr:cNvPr>
        <xdr:cNvSpPr>
          <a:spLocks noChangeAspect="1" noChangeArrowheads="1"/>
        </xdr:cNvSpPr>
      </xdr:nvSpPr>
      <xdr:spPr bwMode="auto">
        <a:xfrm>
          <a:off x="1885950" y="2695575"/>
          <a:ext cx="304800" cy="3064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1"/>
    <xdr:sp macro="" textlink="">
      <xdr:nvSpPr>
        <xdr:cNvPr id="495" name="AutoShape 230" descr="+">
          <a:extLst>
            <a:ext uri="{FF2B5EF4-FFF2-40B4-BE49-F238E27FC236}">
              <a16:creationId xmlns:a16="http://schemas.microsoft.com/office/drawing/2014/main" id="{DAEC5FD8-C9D8-4460-B779-60C65381F06B}"/>
            </a:ext>
          </a:extLst>
        </xdr:cNvPr>
        <xdr:cNvSpPr>
          <a:spLocks noChangeAspect="1" noChangeArrowheads="1"/>
        </xdr:cNvSpPr>
      </xdr:nvSpPr>
      <xdr:spPr bwMode="auto">
        <a:xfrm>
          <a:off x="1885950" y="2695575"/>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71730"/>
    <xdr:sp macro="" textlink="">
      <xdr:nvSpPr>
        <xdr:cNvPr id="496" name="AutoShape 231" descr="+">
          <a:extLst>
            <a:ext uri="{FF2B5EF4-FFF2-40B4-BE49-F238E27FC236}">
              <a16:creationId xmlns:a16="http://schemas.microsoft.com/office/drawing/2014/main" id="{8C6755FE-E292-4ED5-90E3-AED4076CACD8}"/>
            </a:ext>
          </a:extLst>
        </xdr:cNvPr>
        <xdr:cNvSpPr>
          <a:spLocks noChangeAspect="1" noChangeArrowheads="1"/>
        </xdr:cNvSpPr>
      </xdr:nvSpPr>
      <xdr:spPr bwMode="auto">
        <a:xfrm>
          <a:off x="1885950" y="2695575"/>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81938"/>
    <xdr:sp macro="" textlink="">
      <xdr:nvSpPr>
        <xdr:cNvPr id="497" name="AutoShape 232" descr="+">
          <a:extLst>
            <a:ext uri="{FF2B5EF4-FFF2-40B4-BE49-F238E27FC236}">
              <a16:creationId xmlns:a16="http://schemas.microsoft.com/office/drawing/2014/main" id="{31D2985C-F851-4377-B3A5-76599B1277A5}"/>
            </a:ext>
          </a:extLst>
        </xdr:cNvPr>
        <xdr:cNvSpPr>
          <a:spLocks noChangeAspect="1" noChangeArrowheads="1"/>
        </xdr:cNvSpPr>
      </xdr:nvSpPr>
      <xdr:spPr bwMode="auto">
        <a:xfrm>
          <a:off x="1885950" y="2695575"/>
          <a:ext cx="304800" cy="1819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71730"/>
    <xdr:sp macro="" textlink="">
      <xdr:nvSpPr>
        <xdr:cNvPr id="498" name="AutoShape 233" descr="+">
          <a:extLst>
            <a:ext uri="{FF2B5EF4-FFF2-40B4-BE49-F238E27FC236}">
              <a16:creationId xmlns:a16="http://schemas.microsoft.com/office/drawing/2014/main" id="{59E32771-B0E1-43E0-8A48-C52DAD524009}"/>
            </a:ext>
          </a:extLst>
        </xdr:cNvPr>
        <xdr:cNvSpPr>
          <a:spLocks noChangeAspect="1" noChangeArrowheads="1"/>
        </xdr:cNvSpPr>
      </xdr:nvSpPr>
      <xdr:spPr bwMode="auto">
        <a:xfrm>
          <a:off x="1885950" y="2695575"/>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2"/>
    <xdr:sp macro="" textlink="">
      <xdr:nvSpPr>
        <xdr:cNvPr id="499" name="AutoShape 234" descr="+">
          <a:extLst>
            <a:ext uri="{FF2B5EF4-FFF2-40B4-BE49-F238E27FC236}">
              <a16:creationId xmlns:a16="http://schemas.microsoft.com/office/drawing/2014/main" id="{5E3239AE-D522-40F6-BDC1-F4559455F032}"/>
            </a:ext>
          </a:extLst>
        </xdr:cNvPr>
        <xdr:cNvSpPr>
          <a:spLocks noChangeAspect="1" noChangeArrowheads="1"/>
        </xdr:cNvSpPr>
      </xdr:nvSpPr>
      <xdr:spPr bwMode="auto">
        <a:xfrm>
          <a:off x="1885950" y="2695575"/>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09"/>
    <xdr:sp macro="" textlink="">
      <xdr:nvSpPr>
        <xdr:cNvPr id="500" name="AutoShape 235" descr="+">
          <a:extLst>
            <a:ext uri="{FF2B5EF4-FFF2-40B4-BE49-F238E27FC236}">
              <a16:creationId xmlns:a16="http://schemas.microsoft.com/office/drawing/2014/main" id="{57DAFE84-1BA6-432D-9CC6-E4E8BC9FB726}"/>
            </a:ext>
          </a:extLst>
        </xdr:cNvPr>
        <xdr:cNvSpPr>
          <a:spLocks noChangeAspect="1" noChangeArrowheads="1"/>
        </xdr:cNvSpPr>
      </xdr:nvSpPr>
      <xdr:spPr bwMode="auto">
        <a:xfrm>
          <a:off x="1885950" y="2695575"/>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1"/>
    <xdr:sp macro="" textlink="">
      <xdr:nvSpPr>
        <xdr:cNvPr id="501" name="AutoShape 236" descr="+">
          <a:extLst>
            <a:ext uri="{FF2B5EF4-FFF2-40B4-BE49-F238E27FC236}">
              <a16:creationId xmlns:a16="http://schemas.microsoft.com/office/drawing/2014/main" id="{2743E36B-2F3D-45B7-85AE-3F69EEAA22E6}"/>
            </a:ext>
          </a:extLst>
        </xdr:cNvPr>
        <xdr:cNvSpPr>
          <a:spLocks noChangeAspect="1" noChangeArrowheads="1"/>
        </xdr:cNvSpPr>
      </xdr:nvSpPr>
      <xdr:spPr bwMode="auto">
        <a:xfrm>
          <a:off x="1885950" y="269557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71730"/>
    <xdr:sp macro="" textlink="">
      <xdr:nvSpPr>
        <xdr:cNvPr id="502" name="AutoShape 237" descr="+">
          <a:extLst>
            <a:ext uri="{FF2B5EF4-FFF2-40B4-BE49-F238E27FC236}">
              <a16:creationId xmlns:a16="http://schemas.microsoft.com/office/drawing/2014/main" id="{280B6C95-0339-43B9-BF73-0C075E018E35}"/>
            </a:ext>
          </a:extLst>
        </xdr:cNvPr>
        <xdr:cNvSpPr>
          <a:spLocks noChangeAspect="1" noChangeArrowheads="1"/>
        </xdr:cNvSpPr>
      </xdr:nvSpPr>
      <xdr:spPr bwMode="auto">
        <a:xfrm>
          <a:off x="1885950" y="2695575"/>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4"/>
    <xdr:sp macro="" textlink="">
      <xdr:nvSpPr>
        <xdr:cNvPr id="503" name="AutoShape 238" descr="+">
          <a:extLst>
            <a:ext uri="{FF2B5EF4-FFF2-40B4-BE49-F238E27FC236}">
              <a16:creationId xmlns:a16="http://schemas.microsoft.com/office/drawing/2014/main" id="{E344B4AF-FCBF-41A1-BBCA-FD51CB92A9DC}"/>
            </a:ext>
          </a:extLst>
        </xdr:cNvPr>
        <xdr:cNvSpPr>
          <a:spLocks noChangeAspect="1" noChangeArrowheads="1"/>
        </xdr:cNvSpPr>
      </xdr:nvSpPr>
      <xdr:spPr bwMode="auto">
        <a:xfrm>
          <a:off x="1885950" y="2695575"/>
          <a:ext cx="304800" cy="2105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09"/>
    <xdr:sp macro="" textlink="">
      <xdr:nvSpPr>
        <xdr:cNvPr id="504" name="AutoShape 239" descr="+">
          <a:extLst>
            <a:ext uri="{FF2B5EF4-FFF2-40B4-BE49-F238E27FC236}">
              <a16:creationId xmlns:a16="http://schemas.microsoft.com/office/drawing/2014/main" id="{2274B0CD-3CD0-486D-B0B2-8E33AE4B3931}"/>
            </a:ext>
          </a:extLst>
        </xdr:cNvPr>
        <xdr:cNvSpPr>
          <a:spLocks noChangeAspect="1" noChangeArrowheads="1"/>
        </xdr:cNvSpPr>
      </xdr:nvSpPr>
      <xdr:spPr bwMode="auto">
        <a:xfrm>
          <a:off x="1885950" y="2695575"/>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1"/>
    <xdr:sp macro="" textlink="">
      <xdr:nvSpPr>
        <xdr:cNvPr id="505" name="AutoShape 240" descr="+">
          <a:extLst>
            <a:ext uri="{FF2B5EF4-FFF2-40B4-BE49-F238E27FC236}">
              <a16:creationId xmlns:a16="http://schemas.microsoft.com/office/drawing/2014/main" id="{0AA917EC-AF52-4895-A040-83E9A9B2AD1E}"/>
            </a:ext>
          </a:extLst>
        </xdr:cNvPr>
        <xdr:cNvSpPr>
          <a:spLocks noChangeAspect="1" noChangeArrowheads="1"/>
        </xdr:cNvSpPr>
      </xdr:nvSpPr>
      <xdr:spPr bwMode="auto">
        <a:xfrm>
          <a:off x="1885950" y="269557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0"/>
    <xdr:sp macro="" textlink="">
      <xdr:nvSpPr>
        <xdr:cNvPr id="506" name="AutoShape 241" descr="+">
          <a:extLst>
            <a:ext uri="{FF2B5EF4-FFF2-40B4-BE49-F238E27FC236}">
              <a16:creationId xmlns:a16="http://schemas.microsoft.com/office/drawing/2014/main" id="{F815D172-0045-4D03-B661-23384DFA2711}"/>
            </a:ext>
          </a:extLst>
        </xdr:cNvPr>
        <xdr:cNvSpPr>
          <a:spLocks noChangeAspect="1" noChangeArrowheads="1"/>
        </xdr:cNvSpPr>
      </xdr:nvSpPr>
      <xdr:spPr bwMode="auto">
        <a:xfrm>
          <a:off x="1885950" y="269557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86698"/>
    <xdr:sp macro="" textlink="">
      <xdr:nvSpPr>
        <xdr:cNvPr id="507" name="AutoShape 242" descr="+">
          <a:extLst>
            <a:ext uri="{FF2B5EF4-FFF2-40B4-BE49-F238E27FC236}">
              <a16:creationId xmlns:a16="http://schemas.microsoft.com/office/drawing/2014/main" id="{16D29CE9-F354-4E9E-B402-62091D85337B}"/>
            </a:ext>
          </a:extLst>
        </xdr:cNvPr>
        <xdr:cNvSpPr>
          <a:spLocks noChangeAspect="1" noChangeArrowheads="1"/>
        </xdr:cNvSpPr>
      </xdr:nvSpPr>
      <xdr:spPr bwMode="auto">
        <a:xfrm>
          <a:off x="1885950" y="2695575"/>
          <a:ext cx="304800" cy="18669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2"/>
    <xdr:sp macro="" textlink="">
      <xdr:nvSpPr>
        <xdr:cNvPr id="508" name="AutoShape 243" descr="+">
          <a:extLst>
            <a:ext uri="{FF2B5EF4-FFF2-40B4-BE49-F238E27FC236}">
              <a16:creationId xmlns:a16="http://schemas.microsoft.com/office/drawing/2014/main" id="{EF0F963C-0FDD-4691-A99F-1F54D67EEBEF}"/>
            </a:ext>
          </a:extLst>
        </xdr:cNvPr>
        <xdr:cNvSpPr>
          <a:spLocks noChangeAspect="1" noChangeArrowheads="1"/>
        </xdr:cNvSpPr>
      </xdr:nvSpPr>
      <xdr:spPr bwMode="auto">
        <a:xfrm>
          <a:off x="1885950" y="2695575"/>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1"/>
    <xdr:sp macro="" textlink="">
      <xdr:nvSpPr>
        <xdr:cNvPr id="509" name="AutoShape 244" descr="+">
          <a:extLst>
            <a:ext uri="{FF2B5EF4-FFF2-40B4-BE49-F238E27FC236}">
              <a16:creationId xmlns:a16="http://schemas.microsoft.com/office/drawing/2014/main" id="{00C941B1-DB2E-40F3-B056-67280B020D1B}"/>
            </a:ext>
          </a:extLst>
        </xdr:cNvPr>
        <xdr:cNvSpPr>
          <a:spLocks noChangeAspect="1" noChangeArrowheads="1"/>
        </xdr:cNvSpPr>
      </xdr:nvSpPr>
      <xdr:spPr bwMode="auto">
        <a:xfrm>
          <a:off x="1885950" y="269557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0"/>
    <xdr:sp macro="" textlink="">
      <xdr:nvSpPr>
        <xdr:cNvPr id="510" name="AutoShape 245" descr="+">
          <a:extLst>
            <a:ext uri="{FF2B5EF4-FFF2-40B4-BE49-F238E27FC236}">
              <a16:creationId xmlns:a16="http://schemas.microsoft.com/office/drawing/2014/main" id="{C76FA0FE-65F9-41F7-8B74-246DD9CFB855}"/>
            </a:ext>
          </a:extLst>
        </xdr:cNvPr>
        <xdr:cNvSpPr>
          <a:spLocks noChangeAspect="1" noChangeArrowheads="1"/>
        </xdr:cNvSpPr>
      </xdr:nvSpPr>
      <xdr:spPr bwMode="auto">
        <a:xfrm>
          <a:off x="1885950" y="269557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76492"/>
    <xdr:sp macro="" textlink="">
      <xdr:nvSpPr>
        <xdr:cNvPr id="511" name="AutoShape 246" descr="+">
          <a:extLst>
            <a:ext uri="{FF2B5EF4-FFF2-40B4-BE49-F238E27FC236}">
              <a16:creationId xmlns:a16="http://schemas.microsoft.com/office/drawing/2014/main" id="{54CD8AAE-D275-4A44-9026-0C10D52CD26C}"/>
            </a:ext>
          </a:extLst>
        </xdr:cNvPr>
        <xdr:cNvSpPr>
          <a:spLocks noChangeAspect="1" noChangeArrowheads="1"/>
        </xdr:cNvSpPr>
      </xdr:nvSpPr>
      <xdr:spPr bwMode="auto">
        <a:xfrm>
          <a:off x="1885950" y="2695575"/>
          <a:ext cx="304800" cy="1764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71731"/>
    <xdr:sp macro="" textlink="">
      <xdr:nvSpPr>
        <xdr:cNvPr id="512" name="AutoShape 247" descr="+">
          <a:extLst>
            <a:ext uri="{FF2B5EF4-FFF2-40B4-BE49-F238E27FC236}">
              <a16:creationId xmlns:a16="http://schemas.microsoft.com/office/drawing/2014/main" id="{3A4514BB-20B2-406C-A849-088FF095C443}"/>
            </a:ext>
          </a:extLst>
        </xdr:cNvPr>
        <xdr:cNvSpPr>
          <a:spLocks noChangeAspect="1" noChangeArrowheads="1"/>
        </xdr:cNvSpPr>
      </xdr:nvSpPr>
      <xdr:spPr bwMode="auto">
        <a:xfrm>
          <a:off x="1885950" y="2695575"/>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81938"/>
    <xdr:sp macro="" textlink="">
      <xdr:nvSpPr>
        <xdr:cNvPr id="513" name="AutoShape 248" descr="+">
          <a:extLst>
            <a:ext uri="{FF2B5EF4-FFF2-40B4-BE49-F238E27FC236}">
              <a16:creationId xmlns:a16="http://schemas.microsoft.com/office/drawing/2014/main" id="{52B1C5B5-878E-4B75-9961-2E41036521B9}"/>
            </a:ext>
          </a:extLst>
        </xdr:cNvPr>
        <xdr:cNvSpPr>
          <a:spLocks noChangeAspect="1" noChangeArrowheads="1"/>
        </xdr:cNvSpPr>
      </xdr:nvSpPr>
      <xdr:spPr bwMode="auto">
        <a:xfrm>
          <a:off x="1885950" y="2695575"/>
          <a:ext cx="304800" cy="1819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71731"/>
    <xdr:sp macro="" textlink="">
      <xdr:nvSpPr>
        <xdr:cNvPr id="514" name="AutoShape 249" descr="+">
          <a:extLst>
            <a:ext uri="{FF2B5EF4-FFF2-40B4-BE49-F238E27FC236}">
              <a16:creationId xmlns:a16="http://schemas.microsoft.com/office/drawing/2014/main" id="{9E36104C-4B06-413D-A391-58524B260A25}"/>
            </a:ext>
          </a:extLst>
        </xdr:cNvPr>
        <xdr:cNvSpPr>
          <a:spLocks noChangeAspect="1" noChangeArrowheads="1"/>
        </xdr:cNvSpPr>
      </xdr:nvSpPr>
      <xdr:spPr bwMode="auto">
        <a:xfrm>
          <a:off x="1885950" y="2695575"/>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0"/>
    <xdr:sp macro="" textlink="">
      <xdr:nvSpPr>
        <xdr:cNvPr id="515" name="AutoShape 250" descr="+">
          <a:extLst>
            <a:ext uri="{FF2B5EF4-FFF2-40B4-BE49-F238E27FC236}">
              <a16:creationId xmlns:a16="http://schemas.microsoft.com/office/drawing/2014/main" id="{D7EA71C2-5A4A-45F4-B398-CC86BE0075FF}"/>
            </a:ext>
          </a:extLst>
        </xdr:cNvPr>
        <xdr:cNvSpPr>
          <a:spLocks noChangeAspect="1" noChangeArrowheads="1"/>
        </xdr:cNvSpPr>
      </xdr:nvSpPr>
      <xdr:spPr bwMode="auto">
        <a:xfrm>
          <a:off x="1885950" y="269557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1"/>
    <xdr:sp macro="" textlink="">
      <xdr:nvSpPr>
        <xdr:cNvPr id="516" name="AutoShape 251" descr="+">
          <a:extLst>
            <a:ext uri="{FF2B5EF4-FFF2-40B4-BE49-F238E27FC236}">
              <a16:creationId xmlns:a16="http://schemas.microsoft.com/office/drawing/2014/main" id="{1299422C-5840-41B5-BA94-776BDE4E510B}"/>
            </a:ext>
          </a:extLst>
        </xdr:cNvPr>
        <xdr:cNvSpPr>
          <a:spLocks noChangeAspect="1" noChangeArrowheads="1"/>
        </xdr:cNvSpPr>
      </xdr:nvSpPr>
      <xdr:spPr bwMode="auto">
        <a:xfrm>
          <a:off x="1885950" y="269557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09"/>
    <xdr:sp macro="" textlink="">
      <xdr:nvSpPr>
        <xdr:cNvPr id="517" name="AutoShape 252" descr="+">
          <a:extLst>
            <a:ext uri="{FF2B5EF4-FFF2-40B4-BE49-F238E27FC236}">
              <a16:creationId xmlns:a16="http://schemas.microsoft.com/office/drawing/2014/main" id="{7ED57156-B259-4306-B3FC-01EBD7AFFD55}"/>
            </a:ext>
          </a:extLst>
        </xdr:cNvPr>
        <xdr:cNvSpPr>
          <a:spLocks noChangeAspect="1" noChangeArrowheads="1"/>
        </xdr:cNvSpPr>
      </xdr:nvSpPr>
      <xdr:spPr bwMode="auto">
        <a:xfrm>
          <a:off x="1885950" y="2695575"/>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81937"/>
    <xdr:sp macro="" textlink="">
      <xdr:nvSpPr>
        <xdr:cNvPr id="518" name="AutoShape 253" descr="+">
          <a:extLst>
            <a:ext uri="{FF2B5EF4-FFF2-40B4-BE49-F238E27FC236}">
              <a16:creationId xmlns:a16="http://schemas.microsoft.com/office/drawing/2014/main" id="{B70F50AC-6E86-47E7-9A81-4D9051479ECE}"/>
            </a:ext>
          </a:extLst>
        </xdr:cNvPr>
        <xdr:cNvSpPr>
          <a:spLocks noChangeAspect="1" noChangeArrowheads="1"/>
        </xdr:cNvSpPr>
      </xdr:nvSpPr>
      <xdr:spPr bwMode="auto">
        <a:xfrm>
          <a:off x="1885950" y="2695575"/>
          <a:ext cx="304800" cy="18193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1"/>
    <xdr:sp macro="" textlink="">
      <xdr:nvSpPr>
        <xdr:cNvPr id="519" name="AutoShape 254" descr="+">
          <a:extLst>
            <a:ext uri="{FF2B5EF4-FFF2-40B4-BE49-F238E27FC236}">
              <a16:creationId xmlns:a16="http://schemas.microsoft.com/office/drawing/2014/main" id="{B991F78A-4D0B-4ACC-BEFB-403986E9E86B}"/>
            </a:ext>
          </a:extLst>
        </xdr:cNvPr>
        <xdr:cNvSpPr>
          <a:spLocks noChangeAspect="1" noChangeArrowheads="1"/>
        </xdr:cNvSpPr>
      </xdr:nvSpPr>
      <xdr:spPr bwMode="auto">
        <a:xfrm>
          <a:off x="1885950" y="269557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1"/>
    <xdr:sp macro="" textlink="">
      <xdr:nvSpPr>
        <xdr:cNvPr id="520" name="AutoShape 255" descr="+">
          <a:extLst>
            <a:ext uri="{FF2B5EF4-FFF2-40B4-BE49-F238E27FC236}">
              <a16:creationId xmlns:a16="http://schemas.microsoft.com/office/drawing/2014/main" id="{5DF0A79E-D2C3-4DC9-A568-0EA176A66E74}"/>
            </a:ext>
          </a:extLst>
        </xdr:cNvPr>
        <xdr:cNvSpPr>
          <a:spLocks noChangeAspect="1" noChangeArrowheads="1"/>
        </xdr:cNvSpPr>
      </xdr:nvSpPr>
      <xdr:spPr bwMode="auto">
        <a:xfrm>
          <a:off x="1885950" y="269557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0"/>
    <xdr:sp macro="" textlink="">
      <xdr:nvSpPr>
        <xdr:cNvPr id="521" name="AutoShape 256" descr="+">
          <a:extLst>
            <a:ext uri="{FF2B5EF4-FFF2-40B4-BE49-F238E27FC236}">
              <a16:creationId xmlns:a16="http://schemas.microsoft.com/office/drawing/2014/main" id="{FC8B75BD-A5D0-462A-A872-831EEDAD6D49}"/>
            </a:ext>
          </a:extLst>
        </xdr:cNvPr>
        <xdr:cNvSpPr>
          <a:spLocks noChangeAspect="1" noChangeArrowheads="1"/>
        </xdr:cNvSpPr>
      </xdr:nvSpPr>
      <xdr:spPr bwMode="auto">
        <a:xfrm>
          <a:off x="1885950" y="269557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2"/>
    <xdr:sp macro="" textlink="">
      <xdr:nvSpPr>
        <xdr:cNvPr id="522" name="AutoShape 257" descr="+">
          <a:extLst>
            <a:ext uri="{FF2B5EF4-FFF2-40B4-BE49-F238E27FC236}">
              <a16:creationId xmlns:a16="http://schemas.microsoft.com/office/drawing/2014/main" id="{4FC807DF-7461-4D8A-A063-972B086F1B63}"/>
            </a:ext>
          </a:extLst>
        </xdr:cNvPr>
        <xdr:cNvSpPr>
          <a:spLocks noChangeAspect="1" noChangeArrowheads="1"/>
        </xdr:cNvSpPr>
      </xdr:nvSpPr>
      <xdr:spPr bwMode="auto">
        <a:xfrm>
          <a:off x="1885950" y="2695575"/>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71743"/>
    <xdr:sp macro="" textlink="">
      <xdr:nvSpPr>
        <xdr:cNvPr id="523" name="AutoShape 258" descr="+">
          <a:extLst>
            <a:ext uri="{FF2B5EF4-FFF2-40B4-BE49-F238E27FC236}">
              <a16:creationId xmlns:a16="http://schemas.microsoft.com/office/drawing/2014/main" id="{384B8943-5D41-4650-9EF0-2824B59AACD2}"/>
            </a:ext>
          </a:extLst>
        </xdr:cNvPr>
        <xdr:cNvSpPr>
          <a:spLocks noChangeAspect="1" noChangeArrowheads="1"/>
        </xdr:cNvSpPr>
      </xdr:nvSpPr>
      <xdr:spPr bwMode="auto">
        <a:xfrm>
          <a:off x="1885950" y="2695575"/>
          <a:ext cx="304800" cy="27174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81937"/>
    <xdr:sp macro="" textlink="">
      <xdr:nvSpPr>
        <xdr:cNvPr id="524" name="AutoShape 259" descr="+">
          <a:extLst>
            <a:ext uri="{FF2B5EF4-FFF2-40B4-BE49-F238E27FC236}">
              <a16:creationId xmlns:a16="http://schemas.microsoft.com/office/drawing/2014/main" id="{56E44D7D-5C1F-4E0D-8BD9-959E379D9B58}"/>
            </a:ext>
          </a:extLst>
        </xdr:cNvPr>
        <xdr:cNvSpPr>
          <a:spLocks noChangeAspect="1" noChangeArrowheads="1"/>
        </xdr:cNvSpPr>
      </xdr:nvSpPr>
      <xdr:spPr bwMode="auto">
        <a:xfrm>
          <a:off x="1885950" y="2695575"/>
          <a:ext cx="304800" cy="18193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1"/>
    <xdr:sp macro="" textlink="">
      <xdr:nvSpPr>
        <xdr:cNvPr id="525" name="AutoShape 260" descr="+">
          <a:extLst>
            <a:ext uri="{FF2B5EF4-FFF2-40B4-BE49-F238E27FC236}">
              <a16:creationId xmlns:a16="http://schemas.microsoft.com/office/drawing/2014/main" id="{209FAD95-1EE8-41AC-99D7-57761313A4DA}"/>
            </a:ext>
          </a:extLst>
        </xdr:cNvPr>
        <xdr:cNvSpPr>
          <a:spLocks noChangeAspect="1" noChangeArrowheads="1"/>
        </xdr:cNvSpPr>
      </xdr:nvSpPr>
      <xdr:spPr bwMode="auto">
        <a:xfrm>
          <a:off x="1885950" y="2695575"/>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0"/>
    <xdr:sp macro="" textlink="">
      <xdr:nvSpPr>
        <xdr:cNvPr id="526" name="AutoShape 261" descr="+">
          <a:extLst>
            <a:ext uri="{FF2B5EF4-FFF2-40B4-BE49-F238E27FC236}">
              <a16:creationId xmlns:a16="http://schemas.microsoft.com/office/drawing/2014/main" id="{9441583E-9064-4818-8691-40367021610F}"/>
            </a:ext>
          </a:extLst>
        </xdr:cNvPr>
        <xdr:cNvSpPr>
          <a:spLocks noChangeAspect="1" noChangeArrowheads="1"/>
        </xdr:cNvSpPr>
      </xdr:nvSpPr>
      <xdr:spPr bwMode="auto">
        <a:xfrm>
          <a:off x="1885950" y="269557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2"/>
    <xdr:sp macro="" textlink="">
      <xdr:nvSpPr>
        <xdr:cNvPr id="527" name="AutoShape 262" descr="+">
          <a:extLst>
            <a:ext uri="{FF2B5EF4-FFF2-40B4-BE49-F238E27FC236}">
              <a16:creationId xmlns:a16="http://schemas.microsoft.com/office/drawing/2014/main" id="{9EB0FE65-55D8-44D4-B9FD-889478079C4C}"/>
            </a:ext>
          </a:extLst>
        </xdr:cNvPr>
        <xdr:cNvSpPr>
          <a:spLocks noChangeAspect="1" noChangeArrowheads="1"/>
        </xdr:cNvSpPr>
      </xdr:nvSpPr>
      <xdr:spPr bwMode="auto">
        <a:xfrm>
          <a:off x="1885950" y="2695575"/>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65329"/>
    <xdr:sp macro="" textlink="">
      <xdr:nvSpPr>
        <xdr:cNvPr id="528" name="AutoShape 263" descr="+">
          <a:extLst>
            <a:ext uri="{FF2B5EF4-FFF2-40B4-BE49-F238E27FC236}">
              <a16:creationId xmlns:a16="http://schemas.microsoft.com/office/drawing/2014/main" id="{70528893-11C1-4BAB-AC26-2CB1EA0448C2}"/>
            </a:ext>
          </a:extLst>
        </xdr:cNvPr>
        <xdr:cNvSpPr>
          <a:spLocks noChangeAspect="1" noChangeArrowheads="1"/>
        </xdr:cNvSpPr>
      </xdr:nvSpPr>
      <xdr:spPr bwMode="auto">
        <a:xfrm>
          <a:off x="1885950" y="2695575"/>
          <a:ext cx="304800" cy="1653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65328"/>
    <xdr:sp macro="" textlink="">
      <xdr:nvSpPr>
        <xdr:cNvPr id="529" name="AutoShape 264" descr="+">
          <a:extLst>
            <a:ext uri="{FF2B5EF4-FFF2-40B4-BE49-F238E27FC236}">
              <a16:creationId xmlns:a16="http://schemas.microsoft.com/office/drawing/2014/main" id="{B2485957-2450-4520-AE95-AEDBB8F0087B}"/>
            </a:ext>
          </a:extLst>
        </xdr:cNvPr>
        <xdr:cNvSpPr>
          <a:spLocks noChangeAspect="1" noChangeArrowheads="1"/>
        </xdr:cNvSpPr>
      </xdr:nvSpPr>
      <xdr:spPr bwMode="auto">
        <a:xfrm>
          <a:off x="1885950" y="2695575"/>
          <a:ext cx="304800" cy="16532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04111"/>
    <xdr:sp macro="" textlink="">
      <xdr:nvSpPr>
        <xdr:cNvPr id="530" name="AutoShape 265" descr="+">
          <a:extLst>
            <a:ext uri="{FF2B5EF4-FFF2-40B4-BE49-F238E27FC236}">
              <a16:creationId xmlns:a16="http://schemas.microsoft.com/office/drawing/2014/main" id="{13BE3F9C-0FC1-4540-BC1E-BEB50800AAF9}"/>
            </a:ext>
          </a:extLst>
        </xdr:cNvPr>
        <xdr:cNvSpPr>
          <a:spLocks noChangeAspect="1" noChangeArrowheads="1"/>
        </xdr:cNvSpPr>
      </xdr:nvSpPr>
      <xdr:spPr bwMode="auto">
        <a:xfrm>
          <a:off x="1885950" y="2695575"/>
          <a:ext cx="304800" cy="2041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04106"/>
    <xdr:sp macro="" textlink="">
      <xdr:nvSpPr>
        <xdr:cNvPr id="531" name="AutoShape 266" descr="+">
          <a:extLst>
            <a:ext uri="{FF2B5EF4-FFF2-40B4-BE49-F238E27FC236}">
              <a16:creationId xmlns:a16="http://schemas.microsoft.com/office/drawing/2014/main" id="{E4F9C1AE-E336-4A77-977B-E4F0823B93F6}"/>
            </a:ext>
          </a:extLst>
        </xdr:cNvPr>
        <xdr:cNvSpPr>
          <a:spLocks noChangeAspect="1" noChangeArrowheads="1"/>
        </xdr:cNvSpPr>
      </xdr:nvSpPr>
      <xdr:spPr bwMode="auto">
        <a:xfrm>
          <a:off x="1885950" y="2695575"/>
          <a:ext cx="304800" cy="20410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04108"/>
    <xdr:sp macro="" textlink="">
      <xdr:nvSpPr>
        <xdr:cNvPr id="532" name="AutoShape 267" descr="+">
          <a:extLst>
            <a:ext uri="{FF2B5EF4-FFF2-40B4-BE49-F238E27FC236}">
              <a16:creationId xmlns:a16="http://schemas.microsoft.com/office/drawing/2014/main" id="{1890157E-E698-4DA7-80D3-128288320498}"/>
            </a:ext>
          </a:extLst>
        </xdr:cNvPr>
        <xdr:cNvSpPr>
          <a:spLocks noChangeAspect="1" noChangeArrowheads="1"/>
        </xdr:cNvSpPr>
      </xdr:nvSpPr>
      <xdr:spPr bwMode="auto">
        <a:xfrm>
          <a:off x="1885950" y="2695575"/>
          <a:ext cx="304800" cy="20410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04111"/>
    <xdr:sp macro="" textlink="">
      <xdr:nvSpPr>
        <xdr:cNvPr id="533" name="AutoShape 268" descr="+">
          <a:extLst>
            <a:ext uri="{FF2B5EF4-FFF2-40B4-BE49-F238E27FC236}">
              <a16:creationId xmlns:a16="http://schemas.microsoft.com/office/drawing/2014/main" id="{D0DD9970-5653-462E-B70F-46E463A7DDE3}"/>
            </a:ext>
          </a:extLst>
        </xdr:cNvPr>
        <xdr:cNvSpPr>
          <a:spLocks noChangeAspect="1" noChangeArrowheads="1"/>
        </xdr:cNvSpPr>
      </xdr:nvSpPr>
      <xdr:spPr bwMode="auto">
        <a:xfrm>
          <a:off x="1885950" y="2695575"/>
          <a:ext cx="304800" cy="2041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04109"/>
    <xdr:sp macro="" textlink="">
      <xdr:nvSpPr>
        <xdr:cNvPr id="534" name="AutoShape 269" descr="+">
          <a:extLst>
            <a:ext uri="{FF2B5EF4-FFF2-40B4-BE49-F238E27FC236}">
              <a16:creationId xmlns:a16="http://schemas.microsoft.com/office/drawing/2014/main" id="{4557E344-AECB-4BD1-A7AC-6D23741187F7}"/>
            </a:ext>
          </a:extLst>
        </xdr:cNvPr>
        <xdr:cNvSpPr>
          <a:spLocks noChangeAspect="1" noChangeArrowheads="1"/>
        </xdr:cNvSpPr>
      </xdr:nvSpPr>
      <xdr:spPr bwMode="auto">
        <a:xfrm>
          <a:off x="1885950" y="2695575"/>
          <a:ext cx="304800" cy="2041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04109"/>
    <xdr:sp macro="" textlink="">
      <xdr:nvSpPr>
        <xdr:cNvPr id="535" name="AutoShape 270" descr="+">
          <a:extLst>
            <a:ext uri="{FF2B5EF4-FFF2-40B4-BE49-F238E27FC236}">
              <a16:creationId xmlns:a16="http://schemas.microsoft.com/office/drawing/2014/main" id="{83D2DE96-0382-4979-8589-9D353A7D6307}"/>
            </a:ext>
          </a:extLst>
        </xdr:cNvPr>
        <xdr:cNvSpPr>
          <a:spLocks noChangeAspect="1" noChangeArrowheads="1"/>
        </xdr:cNvSpPr>
      </xdr:nvSpPr>
      <xdr:spPr bwMode="auto">
        <a:xfrm>
          <a:off x="1885950" y="2695575"/>
          <a:ext cx="304800" cy="2041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8883"/>
    <xdr:sp macro="" textlink="">
      <xdr:nvSpPr>
        <xdr:cNvPr id="536" name="AutoShape 271" descr="+">
          <a:extLst>
            <a:ext uri="{FF2B5EF4-FFF2-40B4-BE49-F238E27FC236}">
              <a16:creationId xmlns:a16="http://schemas.microsoft.com/office/drawing/2014/main" id="{B458FDE3-37A5-4C8C-83A0-9509E244D381}"/>
            </a:ext>
          </a:extLst>
        </xdr:cNvPr>
        <xdr:cNvSpPr>
          <a:spLocks noChangeAspect="1" noChangeArrowheads="1"/>
        </xdr:cNvSpPr>
      </xdr:nvSpPr>
      <xdr:spPr bwMode="auto">
        <a:xfrm>
          <a:off x="1885950" y="2695575"/>
          <a:ext cx="304800" cy="30888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04109"/>
    <xdr:sp macro="" textlink="">
      <xdr:nvSpPr>
        <xdr:cNvPr id="537" name="AutoShape 272" descr="+">
          <a:extLst>
            <a:ext uri="{FF2B5EF4-FFF2-40B4-BE49-F238E27FC236}">
              <a16:creationId xmlns:a16="http://schemas.microsoft.com/office/drawing/2014/main" id="{8F36A306-AF2A-4153-869E-51DB1CA20140}"/>
            </a:ext>
          </a:extLst>
        </xdr:cNvPr>
        <xdr:cNvSpPr>
          <a:spLocks noChangeAspect="1" noChangeArrowheads="1"/>
        </xdr:cNvSpPr>
      </xdr:nvSpPr>
      <xdr:spPr bwMode="auto">
        <a:xfrm>
          <a:off x="1885950" y="2695575"/>
          <a:ext cx="304800" cy="2041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71731"/>
    <xdr:sp macro="" textlink="">
      <xdr:nvSpPr>
        <xdr:cNvPr id="538" name="AutoShape 273" descr="+">
          <a:extLst>
            <a:ext uri="{FF2B5EF4-FFF2-40B4-BE49-F238E27FC236}">
              <a16:creationId xmlns:a16="http://schemas.microsoft.com/office/drawing/2014/main" id="{9ACA11E3-74B0-4872-AECD-C06F31A00C1E}"/>
            </a:ext>
          </a:extLst>
        </xdr:cNvPr>
        <xdr:cNvSpPr>
          <a:spLocks noChangeAspect="1" noChangeArrowheads="1"/>
        </xdr:cNvSpPr>
      </xdr:nvSpPr>
      <xdr:spPr bwMode="auto">
        <a:xfrm>
          <a:off x="1885950" y="2695575"/>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71731"/>
    <xdr:sp macro="" textlink="">
      <xdr:nvSpPr>
        <xdr:cNvPr id="539" name="AutoShape 274" descr="+">
          <a:extLst>
            <a:ext uri="{FF2B5EF4-FFF2-40B4-BE49-F238E27FC236}">
              <a16:creationId xmlns:a16="http://schemas.microsoft.com/office/drawing/2014/main" id="{5D5A734C-F2AC-4CDB-8550-9955D35E52AA}"/>
            </a:ext>
          </a:extLst>
        </xdr:cNvPr>
        <xdr:cNvSpPr>
          <a:spLocks noChangeAspect="1" noChangeArrowheads="1"/>
        </xdr:cNvSpPr>
      </xdr:nvSpPr>
      <xdr:spPr bwMode="auto">
        <a:xfrm>
          <a:off x="1885950" y="2695575"/>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85297"/>
    <xdr:sp macro="" textlink="">
      <xdr:nvSpPr>
        <xdr:cNvPr id="540" name="AutoShape 275" descr="+">
          <a:extLst>
            <a:ext uri="{FF2B5EF4-FFF2-40B4-BE49-F238E27FC236}">
              <a16:creationId xmlns:a16="http://schemas.microsoft.com/office/drawing/2014/main" id="{522E0FDF-A8AE-4A87-83AF-9DBCA2FF80C6}"/>
            </a:ext>
          </a:extLst>
        </xdr:cNvPr>
        <xdr:cNvSpPr>
          <a:spLocks noChangeAspect="1" noChangeArrowheads="1"/>
        </xdr:cNvSpPr>
      </xdr:nvSpPr>
      <xdr:spPr bwMode="auto">
        <a:xfrm>
          <a:off x="1885950" y="2695575"/>
          <a:ext cx="304800" cy="18529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71731"/>
    <xdr:sp macro="" textlink="">
      <xdr:nvSpPr>
        <xdr:cNvPr id="541" name="AutoShape 276" descr="+">
          <a:extLst>
            <a:ext uri="{FF2B5EF4-FFF2-40B4-BE49-F238E27FC236}">
              <a16:creationId xmlns:a16="http://schemas.microsoft.com/office/drawing/2014/main" id="{616200AB-B8E2-41E8-AA7A-0B48DA435062}"/>
            </a:ext>
          </a:extLst>
        </xdr:cNvPr>
        <xdr:cNvSpPr>
          <a:spLocks noChangeAspect="1" noChangeArrowheads="1"/>
        </xdr:cNvSpPr>
      </xdr:nvSpPr>
      <xdr:spPr bwMode="auto">
        <a:xfrm>
          <a:off x="1885950" y="2695575"/>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09"/>
    <xdr:sp macro="" textlink="">
      <xdr:nvSpPr>
        <xdr:cNvPr id="542" name="AutoShape 277" descr="+">
          <a:extLst>
            <a:ext uri="{FF2B5EF4-FFF2-40B4-BE49-F238E27FC236}">
              <a16:creationId xmlns:a16="http://schemas.microsoft.com/office/drawing/2014/main" id="{6FC65C9C-BAA0-4AB9-97BF-FFF42CAEA26F}"/>
            </a:ext>
          </a:extLst>
        </xdr:cNvPr>
        <xdr:cNvSpPr>
          <a:spLocks noChangeAspect="1" noChangeArrowheads="1"/>
        </xdr:cNvSpPr>
      </xdr:nvSpPr>
      <xdr:spPr bwMode="auto">
        <a:xfrm>
          <a:off x="1885950" y="2695575"/>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1"/>
    <xdr:sp macro="" textlink="">
      <xdr:nvSpPr>
        <xdr:cNvPr id="543" name="AutoShape 278" descr="+">
          <a:extLst>
            <a:ext uri="{FF2B5EF4-FFF2-40B4-BE49-F238E27FC236}">
              <a16:creationId xmlns:a16="http://schemas.microsoft.com/office/drawing/2014/main" id="{2FA426B3-EF19-4381-923E-B3E1CE0A544D}"/>
            </a:ext>
          </a:extLst>
        </xdr:cNvPr>
        <xdr:cNvSpPr>
          <a:spLocks noChangeAspect="1" noChangeArrowheads="1"/>
        </xdr:cNvSpPr>
      </xdr:nvSpPr>
      <xdr:spPr bwMode="auto">
        <a:xfrm>
          <a:off x="1885950" y="269557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91461"/>
    <xdr:sp macro="" textlink="">
      <xdr:nvSpPr>
        <xdr:cNvPr id="544" name="AutoShape 279" descr="+">
          <a:extLst>
            <a:ext uri="{FF2B5EF4-FFF2-40B4-BE49-F238E27FC236}">
              <a16:creationId xmlns:a16="http://schemas.microsoft.com/office/drawing/2014/main" id="{1CF16296-7C8C-492B-8A5F-8E41F48B0445}"/>
            </a:ext>
          </a:extLst>
        </xdr:cNvPr>
        <xdr:cNvSpPr>
          <a:spLocks noChangeAspect="1" noChangeArrowheads="1"/>
        </xdr:cNvSpPr>
      </xdr:nvSpPr>
      <xdr:spPr bwMode="auto">
        <a:xfrm>
          <a:off x="1885950" y="2695575"/>
          <a:ext cx="304800" cy="1914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3"/>
    <xdr:sp macro="" textlink="">
      <xdr:nvSpPr>
        <xdr:cNvPr id="545" name="AutoShape 280" descr="+">
          <a:extLst>
            <a:ext uri="{FF2B5EF4-FFF2-40B4-BE49-F238E27FC236}">
              <a16:creationId xmlns:a16="http://schemas.microsoft.com/office/drawing/2014/main" id="{7A0C7C12-A689-46CC-BB41-6B70786901FD}"/>
            </a:ext>
          </a:extLst>
        </xdr:cNvPr>
        <xdr:cNvSpPr>
          <a:spLocks noChangeAspect="1" noChangeArrowheads="1"/>
        </xdr:cNvSpPr>
      </xdr:nvSpPr>
      <xdr:spPr bwMode="auto">
        <a:xfrm>
          <a:off x="1885950" y="2695575"/>
          <a:ext cx="304800" cy="2105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0"/>
    <xdr:sp macro="" textlink="">
      <xdr:nvSpPr>
        <xdr:cNvPr id="546" name="AutoShape 281" descr="+">
          <a:extLst>
            <a:ext uri="{FF2B5EF4-FFF2-40B4-BE49-F238E27FC236}">
              <a16:creationId xmlns:a16="http://schemas.microsoft.com/office/drawing/2014/main" id="{3129C24E-F3D5-4DC6-9032-B3DA95BB4CBB}"/>
            </a:ext>
          </a:extLst>
        </xdr:cNvPr>
        <xdr:cNvSpPr>
          <a:spLocks noChangeAspect="1" noChangeArrowheads="1"/>
        </xdr:cNvSpPr>
      </xdr:nvSpPr>
      <xdr:spPr bwMode="auto">
        <a:xfrm>
          <a:off x="1885950" y="269557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08"/>
    <xdr:sp macro="" textlink="">
      <xdr:nvSpPr>
        <xdr:cNvPr id="547" name="AutoShape 282" descr="+">
          <a:extLst>
            <a:ext uri="{FF2B5EF4-FFF2-40B4-BE49-F238E27FC236}">
              <a16:creationId xmlns:a16="http://schemas.microsoft.com/office/drawing/2014/main" id="{FD35DF12-9D8B-427F-A168-31A7D3229922}"/>
            </a:ext>
          </a:extLst>
        </xdr:cNvPr>
        <xdr:cNvSpPr>
          <a:spLocks noChangeAspect="1" noChangeArrowheads="1"/>
        </xdr:cNvSpPr>
      </xdr:nvSpPr>
      <xdr:spPr bwMode="auto">
        <a:xfrm>
          <a:off x="1885950" y="2695575"/>
          <a:ext cx="304800" cy="21050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2"/>
    <xdr:sp macro="" textlink="">
      <xdr:nvSpPr>
        <xdr:cNvPr id="548" name="AutoShape 283" descr="+">
          <a:extLst>
            <a:ext uri="{FF2B5EF4-FFF2-40B4-BE49-F238E27FC236}">
              <a16:creationId xmlns:a16="http://schemas.microsoft.com/office/drawing/2014/main" id="{77FF9329-DF43-41E8-898F-9977F7339555}"/>
            </a:ext>
          </a:extLst>
        </xdr:cNvPr>
        <xdr:cNvSpPr>
          <a:spLocks noChangeAspect="1" noChangeArrowheads="1"/>
        </xdr:cNvSpPr>
      </xdr:nvSpPr>
      <xdr:spPr bwMode="auto">
        <a:xfrm>
          <a:off x="1885950" y="2695575"/>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2"/>
    <xdr:sp macro="" textlink="">
      <xdr:nvSpPr>
        <xdr:cNvPr id="549" name="AutoShape 284" descr="+">
          <a:extLst>
            <a:ext uri="{FF2B5EF4-FFF2-40B4-BE49-F238E27FC236}">
              <a16:creationId xmlns:a16="http://schemas.microsoft.com/office/drawing/2014/main" id="{B07CDAA3-4ECA-4A3D-846E-89783AB2DE33}"/>
            </a:ext>
          </a:extLst>
        </xdr:cNvPr>
        <xdr:cNvSpPr>
          <a:spLocks noChangeAspect="1" noChangeArrowheads="1"/>
        </xdr:cNvSpPr>
      </xdr:nvSpPr>
      <xdr:spPr bwMode="auto">
        <a:xfrm>
          <a:off x="1885950" y="2695575"/>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81936"/>
    <xdr:sp macro="" textlink="">
      <xdr:nvSpPr>
        <xdr:cNvPr id="550" name="AutoShape 285" descr="+">
          <a:extLst>
            <a:ext uri="{FF2B5EF4-FFF2-40B4-BE49-F238E27FC236}">
              <a16:creationId xmlns:a16="http://schemas.microsoft.com/office/drawing/2014/main" id="{3ECF533C-EEE5-4D49-AFFA-40FBB496EFB2}"/>
            </a:ext>
          </a:extLst>
        </xdr:cNvPr>
        <xdr:cNvSpPr>
          <a:spLocks noChangeAspect="1" noChangeArrowheads="1"/>
        </xdr:cNvSpPr>
      </xdr:nvSpPr>
      <xdr:spPr bwMode="auto">
        <a:xfrm>
          <a:off x="1885950" y="2695575"/>
          <a:ext cx="304800" cy="18193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00704"/>
    <xdr:sp macro="" textlink="">
      <xdr:nvSpPr>
        <xdr:cNvPr id="551" name="AutoShape 286" descr="+">
          <a:extLst>
            <a:ext uri="{FF2B5EF4-FFF2-40B4-BE49-F238E27FC236}">
              <a16:creationId xmlns:a16="http://schemas.microsoft.com/office/drawing/2014/main" id="{0A22C095-4CD0-46A2-ABF5-742B735B61AB}"/>
            </a:ext>
          </a:extLst>
        </xdr:cNvPr>
        <xdr:cNvSpPr>
          <a:spLocks noChangeAspect="1" noChangeArrowheads="1"/>
        </xdr:cNvSpPr>
      </xdr:nvSpPr>
      <xdr:spPr bwMode="auto">
        <a:xfrm>
          <a:off x="1885950" y="2695575"/>
          <a:ext cx="304800" cy="20070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00707"/>
    <xdr:sp macro="" textlink="">
      <xdr:nvSpPr>
        <xdr:cNvPr id="552" name="AutoShape 287" descr="+">
          <a:extLst>
            <a:ext uri="{FF2B5EF4-FFF2-40B4-BE49-F238E27FC236}">
              <a16:creationId xmlns:a16="http://schemas.microsoft.com/office/drawing/2014/main" id="{90151353-E9AC-468E-A2D6-705E32F9083D}"/>
            </a:ext>
          </a:extLst>
        </xdr:cNvPr>
        <xdr:cNvSpPr>
          <a:spLocks noChangeAspect="1" noChangeArrowheads="1"/>
        </xdr:cNvSpPr>
      </xdr:nvSpPr>
      <xdr:spPr bwMode="auto">
        <a:xfrm>
          <a:off x="1885950" y="2695575"/>
          <a:ext cx="304800" cy="20070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04107"/>
    <xdr:sp macro="" textlink="">
      <xdr:nvSpPr>
        <xdr:cNvPr id="553" name="AutoShape 288" descr="+">
          <a:extLst>
            <a:ext uri="{FF2B5EF4-FFF2-40B4-BE49-F238E27FC236}">
              <a16:creationId xmlns:a16="http://schemas.microsoft.com/office/drawing/2014/main" id="{AA7F2972-62FA-445F-9465-16B865AEDD3E}"/>
            </a:ext>
          </a:extLst>
        </xdr:cNvPr>
        <xdr:cNvSpPr>
          <a:spLocks noChangeAspect="1" noChangeArrowheads="1"/>
        </xdr:cNvSpPr>
      </xdr:nvSpPr>
      <xdr:spPr bwMode="auto">
        <a:xfrm>
          <a:off x="1885950" y="2695575"/>
          <a:ext cx="304800" cy="20410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71730"/>
    <xdr:sp macro="" textlink="">
      <xdr:nvSpPr>
        <xdr:cNvPr id="554" name="AutoShape 289" descr="+">
          <a:extLst>
            <a:ext uri="{FF2B5EF4-FFF2-40B4-BE49-F238E27FC236}">
              <a16:creationId xmlns:a16="http://schemas.microsoft.com/office/drawing/2014/main" id="{A80328FF-E33E-4FB8-9371-574C34988C1C}"/>
            </a:ext>
          </a:extLst>
        </xdr:cNvPr>
        <xdr:cNvSpPr>
          <a:spLocks noChangeAspect="1" noChangeArrowheads="1"/>
        </xdr:cNvSpPr>
      </xdr:nvSpPr>
      <xdr:spPr bwMode="auto">
        <a:xfrm>
          <a:off x="1885950" y="2695575"/>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2"/>
    <xdr:sp macro="" textlink="">
      <xdr:nvSpPr>
        <xdr:cNvPr id="555" name="AutoShape 290" descr="+">
          <a:extLst>
            <a:ext uri="{FF2B5EF4-FFF2-40B4-BE49-F238E27FC236}">
              <a16:creationId xmlns:a16="http://schemas.microsoft.com/office/drawing/2014/main" id="{226E8744-BE2B-4AC3-B04A-F0717141827F}"/>
            </a:ext>
          </a:extLst>
        </xdr:cNvPr>
        <xdr:cNvSpPr>
          <a:spLocks noChangeAspect="1" noChangeArrowheads="1"/>
        </xdr:cNvSpPr>
      </xdr:nvSpPr>
      <xdr:spPr bwMode="auto">
        <a:xfrm>
          <a:off x="1885950" y="2695575"/>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1"/>
    <xdr:sp macro="" textlink="">
      <xdr:nvSpPr>
        <xdr:cNvPr id="556" name="AutoShape 291" descr="+">
          <a:extLst>
            <a:ext uri="{FF2B5EF4-FFF2-40B4-BE49-F238E27FC236}">
              <a16:creationId xmlns:a16="http://schemas.microsoft.com/office/drawing/2014/main" id="{9731CA08-EF56-439A-BA95-1388ED338E8A}"/>
            </a:ext>
          </a:extLst>
        </xdr:cNvPr>
        <xdr:cNvSpPr>
          <a:spLocks noChangeAspect="1" noChangeArrowheads="1"/>
        </xdr:cNvSpPr>
      </xdr:nvSpPr>
      <xdr:spPr bwMode="auto">
        <a:xfrm>
          <a:off x="1885950" y="269557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2"/>
    <xdr:sp macro="" textlink="">
      <xdr:nvSpPr>
        <xdr:cNvPr id="557" name="AutoShape 292" descr="+">
          <a:extLst>
            <a:ext uri="{FF2B5EF4-FFF2-40B4-BE49-F238E27FC236}">
              <a16:creationId xmlns:a16="http://schemas.microsoft.com/office/drawing/2014/main" id="{58B53219-909D-41D4-916D-18BFD8F82DB7}"/>
            </a:ext>
          </a:extLst>
        </xdr:cNvPr>
        <xdr:cNvSpPr>
          <a:spLocks noChangeAspect="1" noChangeArrowheads="1"/>
        </xdr:cNvSpPr>
      </xdr:nvSpPr>
      <xdr:spPr bwMode="auto">
        <a:xfrm>
          <a:off x="1885950" y="2695575"/>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09"/>
    <xdr:sp macro="" textlink="">
      <xdr:nvSpPr>
        <xdr:cNvPr id="558" name="AutoShape 293" descr="+">
          <a:extLst>
            <a:ext uri="{FF2B5EF4-FFF2-40B4-BE49-F238E27FC236}">
              <a16:creationId xmlns:a16="http://schemas.microsoft.com/office/drawing/2014/main" id="{87624E4E-578E-4728-A761-EE17EB13984A}"/>
            </a:ext>
          </a:extLst>
        </xdr:cNvPr>
        <xdr:cNvSpPr>
          <a:spLocks noChangeAspect="1" noChangeArrowheads="1"/>
        </xdr:cNvSpPr>
      </xdr:nvSpPr>
      <xdr:spPr bwMode="auto">
        <a:xfrm>
          <a:off x="1885950" y="2695575"/>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2"/>
    <xdr:sp macro="" textlink="">
      <xdr:nvSpPr>
        <xdr:cNvPr id="559" name="AutoShape 294" descr="+">
          <a:extLst>
            <a:ext uri="{FF2B5EF4-FFF2-40B4-BE49-F238E27FC236}">
              <a16:creationId xmlns:a16="http://schemas.microsoft.com/office/drawing/2014/main" id="{1BDF8C08-E1D4-4844-BCEC-6DA2F4EEAE35}"/>
            </a:ext>
          </a:extLst>
        </xdr:cNvPr>
        <xdr:cNvSpPr>
          <a:spLocks noChangeAspect="1" noChangeArrowheads="1"/>
        </xdr:cNvSpPr>
      </xdr:nvSpPr>
      <xdr:spPr bwMode="auto">
        <a:xfrm>
          <a:off x="1885950" y="2695575"/>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5079"/>
    <xdr:sp macro="" textlink="">
      <xdr:nvSpPr>
        <xdr:cNvPr id="560" name="AutoShape 295" descr="+">
          <a:extLst>
            <a:ext uri="{FF2B5EF4-FFF2-40B4-BE49-F238E27FC236}">
              <a16:creationId xmlns:a16="http://schemas.microsoft.com/office/drawing/2014/main" id="{947D32ED-320C-4837-9FB9-03E1F9F8E619}"/>
            </a:ext>
          </a:extLst>
        </xdr:cNvPr>
        <xdr:cNvSpPr>
          <a:spLocks noChangeAspect="1" noChangeArrowheads="1"/>
        </xdr:cNvSpPr>
      </xdr:nvSpPr>
      <xdr:spPr bwMode="auto">
        <a:xfrm>
          <a:off x="1885950" y="2695575"/>
          <a:ext cx="304800" cy="305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81938"/>
    <xdr:sp macro="" textlink="">
      <xdr:nvSpPr>
        <xdr:cNvPr id="561" name="AutoShape 296" descr="+">
          <a:extLst>
            <a:ext uri="{FF2B5EF4-FFF2-40B4-BE49-F238E27FC236}">
              <a16:creationId xmlns:a16="http://schemas.microsoft.com/office/drawing/2014/main" id="{89ED7E94-562D-4779-B736-9AF2B4AA799B}"/>
            </a:ext>
          </a:extLst>
        </xdr:cNvPr>
        <xdr:cNvSpPr>
          <a:spLocks noChangeAspect="1" noChangeArrowheads="1"/>
        </xdr:cNvSpPr>
      </xdr:nvSpPr>
      <xdr:spPr bwMode="auto">
        <a:xfrm>
          <a:off x="1885950" y="2695575"/>
          <a:ext cx="304800" cy="1819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210512"/>
    <xdr:sp macro="" textlink="">
      <xdr:nvSpPr>
        <xdr:cNvPr id="563" name="AutoShape 298" descr="+">
          <a:extLst>
            <a:ext uri="{FF2B5EF4-FFF2-40B4-BE49-F238E27FC236}">
              <a16:creationId xmlns:a16="http://schemas.microsoft.com/office/drawing/2014/main" id="{53C8C576-FAE1-43CA-A071-4E3011F0AFEA}"/>
            </a:ext>
          </a:extLst>
        </xdr:cNvPr>
        <xdr:cNvSpPr>
          <a:spLocks noChangeAspect="1" noChangeArrowheads="1"/>
        </xdr:cNvSpPr>
      </xdr:nvSpPr>
      <xdr:spPr bwMode="auto">
        <a:xfrm>
          <a:off x="1885950" y="2695575"/>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166687"/>
    <xdr:sp macro="" textlink="">
      <xdr:nvSpPr>
        <xdr:cNvPr id="564" name="AutoShape 80" descr="+">
          <a:extLst>
            <a:ext uri="{FF2B5EF4-FFF2-40B4-BE49-F238E27FC236}">
              <a16:creationId xmlns:a16="http://schemas.microsoft.com/office/drawing/2014/main" id="{461F2D05-D234-4EAC-8EAF-D0925B375D1F}"/>
            </a:ext>
          </a:extLst>
        </xdr:cNvPr>
        <xdr:cNvSpPr>
          <a:spLocks noChangeAspect="1" noChangeArrowheads="1"/>
        </xdr:cNvSpPr>
      </xdr:nvSpPr>
      <xdr:spPr bwMode="auto">
        <a:xfrm>
          <a:off x="1885950" y="2695575"/>
          <a:ext cx="304800" cy="1666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0</xdr:col>
      <xdr:colOff>161925</xdr:colOff>
      <xdr:row>20</xdr:row>
      <xdr:rowOff>47626</xdr:rowOff>
    </xdr:from>
    <xdr:to>
      <xdr:col>4</xdr:col>
      <xdr:colOff>118027</xdr:colOff>
      <xdr:row>20</xdr:row>
      <xdr:rowOff>4265543</xdr:rowOff>
    </xdr:to>
    <xdr:pic>
      <xdr:nvPicPr>
        <xdr:cNvPr id="566" name="Picture 565">
          <a:extLst>
            <a:ext uri="{FF2B5EF4-FFF2-40B4-BE49-F238E27FC236}">
              <a16:creationId xmlns:a16="http://schemas.microsoft.com/office/drawing/2014/main" id="{42918226-D719-4E44-BADC-2DD7C9BA56AF}"/>
            </a:ext>
          </a:extLst>
        </xdr:cNvPr>
        <xdr:cNvPicPr>
          <a:picLocks noChangeAspect="1"/>
        </xdr:cNvPicPr>
      </xdr:nvPicPr>
      <xdr:blipFill>
        <a:blip xmlns:r="http://schemas.openxmlformats.org/officeDocument/2006/relationships" r:embed="rId1"/>
        <a:stretch>
          <a:fillRect/>
        </a:stretch>
      </xdr:blipFill>
      <xdr:spPr>
        <a:xfrm>
          <a:off x="161925" y="6764822"/>
          <a:ext cx="6143211" cy="4217917"/>
        </a:xfrm>
        <a:prstGeom prst="rect">
          <a:avLst/>
        </a:prstGeom>
        <a:ln>
          <a:solidFill>
            <a:schemeClr val="tx1"/>
          </a:solidFill>
        </a:ln>
      </xdr:spPr>
    </xdr:pic>
    <xdr:clientData/>
  </xdr:twoCellAnchor>
  <xdr:oneCellAnchor>
    <xdr:from>
      <xdr:col>2</xdr:col>
      <xdr:colOff>0</xdr:colOff>
      <xdr:row>7</xdr:row>
      <xdr:rowOff>0</xdr:rowOff>
    </xdr:from>
    <xdr:ext cx="304800" cy="270548"/>
    <xdr:sp macro="" textlink="">
      <xdr:nvSpPr>
        <xdr:cNvPr id="568" name="AutoShape 12" descr="+">
          <a:extLst>
            <a:ext uri="{FF2B5EF4-FFF2-40B4-BE49-F238E27FC236}">
              <a16:creationId xmlns:a16="http://schemas.microsoft.com/office/drawing/2014/main" id="{56B14DAD-8C99-45EE-BDAB-1374819B5548}"/>
            </a:ext>
          </a:extLst>
        </xdr:cNvPr>
        <xdr:cNvSpPr>
          <a:spLocks noChangeAspect="1" noChangeArrowheads="1"/>
        </xdr:cNvSpPr>
      </xdr:nvSpPr>
      <xdr:spPr bwMode="auto">
        <a:xfrm>
          <a:off x="1885950" y="3352800"/>
          <a:ext cx="304800" cy="27054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xdr:row>
      <xdr:rowOff>0</xdr:rowOff>
    </xdr:from>
    <xdr:ext cx="304800" cy="304801"/>
    <xdr:sp macro="" textlink="">
      <xdr:nvSpPr>
        <xdr:cNvPr id="569" name="AutoShape 59" descr="+">
          <a:extLst>
            <a:ext uri="{FF2B5EF4-FFF2-40B4-BE49-F238E27FC236}">
              <a16:creationId xmlns:a16="http://schemas.microsoft.com/office/drawing/2014/main" id="{80002117-B79D-4014-AAA0-DDF3597DCBC4}"/>
            </a:ext>
          </a:extLst>
        </xdr:cNvPr>
        <xdr:cNvSpPr>
          <a:spLocks noChangeAspect="1" noChangeArrowheads="1"/>
        </xdr:cNvSpPr>
      </xdr:nvSpPr>
      <xdr:spPr bwMode="auto">
        <a:xfrm>
          <a:off x="1885950" y="33528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xdr:row>
      <xdr:rowOff>0</xdr:rowOff>
    </xdr:from>
    <xdr:ext cx="304800" cy="307044"/>
    <xdr:sp macro="" textlink="">
      <xdr:nvSpPr>
        <xdr:cNvPr id="570" name="AutoShape 91" descr="+">
          <a:extLst>
            <a:ext uri="{FF2B5EF4-FFF2-40B4-BE49-F238E27FC236}">
              <a16:creationId xmlns:a16="http://schemas.microsoft.com/office/drawing/2014/main" id="{9796CACE-044A-4947-84B4-30306D58646D}"/>
            </a:ext>
          </a:extLst>
        </xdr:cNvPr>
        <xdr:cNvSpPr>
          <a:spLocks noChangeAspect="1" noChangeArrowheads="1"/>
        </xdr:cNvSpPr>
      </xdr:nvSpPr>
      <xdr:spPr bwMode="auto">
        <a:xfrm>
          <a:off x="1885950" y="3352800"/>
          <a:ext cx="304800" cy="30704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xdr:row>
      <xdr:rowOff>0</xdr:rowOff>
    </xdr:from>
    <xdr:ext cx="304800" cy="327330"/>
    <xdr:sp macro="" textlink="">
      <xdr:nvSpPr>
        <xdr:cNvPr id="571" name="AutoShape 143" descr="+">
          <a:extLst>
            <a:ext uri="{FF2B5EF4-FFF2-40B4-BE49-F238E27FC236}">
              <a16:creationId xmlns:a16="http://schemas.microsoft.com/office/drawing/2014/main" id="{7812BC99-9C2C-4EB6-9B8B-AF9BD03A638F}"/>
            </a:ext>
          </a:extLst>
        </xdr:cNvPr>
        <xdr:cNvSpPr>
          <a:spLocks noChangeAspect="1" noChangeArrowheads="1"/>
        </xdr:cNvSpPr>
      </xdr:nvSpPr>
      <xdr:spPr bwMode="auto">
        <a:xfrm>
          <a:off x="1885950" y="3352800"/>
          <a:ext cx="304800" cy="3273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xdr:row>
      <xdr:rowOff>0</xdr:rowOff>
    </xdr:from>
    <xdr:ext cx="304800" cy="304796"/>
    <xdr:sp macro="" textlink="">
      <xdr:nvSpPr>
        <xdr:cNvPr id="572" name="AutoShape 153" descr="+">
          <a:extLst>
            <a:ext uri="{FF2B5EF4-FFF2-40B4-BE49-F238E27FC236}">
              <a16:creationId xmlns:a16="http://schemas.microsoft.com/office/drawing/2014/main" id="{B856280A-5F33-4D5A-8822-8E80613A6977}"/>
            </a:ext>
          </a:extLst>
        </xdr:cNvPr>
        <xdr:cNvSpPr>
          <a:spLocks noChangeAspect="1" noChangeArrowheads="1"/>
        </xdr:cNvSpPr>
      </xdr:nvSpPr>
      <xdr:spPr bwMode="auto">
        <a:xfrm>
          <a:off x="1885950" y="3352800"/>
          <a:ext cx="304800" cy="30479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xdr:row>
      <xdr:rowOff>0</xdr:rowOff>
    </xdr:from>
    <xdr:ext cx="304800" cy="308885"/>
    <xdr:sp macro="" textlink="">
      <xdr:nvSpPr>
        <xdr:cNvPr id="573" name="AutoShape 168" descr="+">
          <a:extLst>
            <a:ext uri="{FF2B5EF4-FFF2-40B4-BE49-F238E27FC236}">
              <a16:creationId xmlns:a16="http://schemas.microsoft.com/office/drawing/2014/main" id="{138BFF9C-FB9C-4504-B5DD-F045D3F54F8B}"/>
            </a:ext>
          </a:extLst>
        </xdr:cNvPr>
        <xdr:cNvSpPr>
          <a:spLocks noChangeAspect="1" noChangeArrowheads="1"/>
        </xdr:cNvSpPr>
      </xdr:nvSpPr>
      <xdr:spPr bwMode="auto">
        <a:xfrm>
          <a:off x="1885950" y="3352800"/>
          <a:ext cx="304800" cy="3088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xdr:row>
      <xdr:rowOff>0</xdr:rowOff>
    </xdr:from>
    <xdr:ext cx="304800" cy="308883"/>
    <xdr:sp macro="" textlink="">
      <xdr:nvSpPr>
        <xdr:cNvPr id="574" name="AutoShape 171" descr="+">
          <a:extLst>
            <a:ext uri="{FF2B5EF4-FFF2-40B4-BE49-F238E27FC236}">
              <a16:creationId xmlns:a16="http://schemas.microsoft.com/office/drawing/2014/main" id="{7494419A-E425-42C8-90D3-E4F22DC21155}"/>
            </a:ext>
          </a:extLst>
        </xdr:cNvPr>
        <xdr:cNvSpPr>
          <a:spLocks noChangeAspect="1" noChangeArrowheads="1"/>
        </xdr:cNvSpPr>
      </xdr:nvSpPr>
      <xdr:spPr bwMode="auto">
        <a:xfrm>
          <a:off x="1885950" y="3352800"/>
          <a:ext cx="304800" cy="30888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xdr:row>
      <xdr:rowOff>0</xdr:rowOff>
    </xdr:from>
    <xdr:ext cx="304800" cy="309916"/>
    <xdr:sp macro="" textlink="">
      <xdr:nvSpPr>
        <xdr:cNvPr id="575" name="AutoShape 182" descr="+">
          <a:extLst>
            <a:ext uri="{FF2B5EF4-FFF2-40B4-BE49-F238E27FC236}">
              <a16:creationId xmlns:a16="http://schemas.microsoft.com/office/drawing/2014/main" id="{0221E128-670A-4E4A-A1C4-278A33924685}"/>
            </a:ext>
          </a:extLst>
        </xdr:cNvPr>
        <xdr:cNvSpPr>
          <a:spLocks noChangeAspect="1" noChangeArrowheads="1"/>
        </xdr:cNvSpPr>
      </xdr:nvSpPr>
      <xdr:spPr bwMode="auto">
        <a:xfrm>
          <a:off x="1885950" y="3352800"/>
          <a:ext cx="304800" cy="30991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xdr:row>
      <xdr:rowOff>0</xdr:rowOff>
    </xdr:from>
    <xdr:ext cx="304800" cy="304800"/>
    <xdr:sp macro="" textlink="">
      <xdr:nvSpPr>
        <xdr:cNvPr id="576" name="AutoShape 197" descr="+">
          <a:extLst>
            <a:ext uri="{FF2B5EF4-FFF2-40B4-BE49-F238E27FC236}">
              <a16:creationId xmlns:a16="http://schemas.microsoft.com/office/drawing/2014/main" id="{BA9D1629-D8F9-4F62-8C42-E3D0C4EA9D55}"/>
            </a:ext>
          </a:extLst>
        </xdr:cNvPr>
        <xdr:cNvSpPr>
          <a:spLocks noChangeAspect="1" noChangeArrowheads="1"/>
        </xdr:cNvSpPr>
      </xdr:nvSpPr>
      <xdr:spPr bwMode="auto">
        <a:xfrm>
          <a:off x="1885950" y="335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xdr:row>
      <xdr:rowOff>0</xdr:rowOff>
    </xdr:from>
    <xdr:ext cx="304800" cy="304800"/>
    <xdr:sp macro="" textlink="">
      <xdr:nvSpPr>
        <xdr:cNvPr id="577" name="AutoShape 211" descr="+">
          <a:extLst>
            <a:ext uri="{FF2B5EF4-FFF2-40B4-BE49-F238E27FC236}">
              <a16:creationId xmlns:a16="http://schemas.microsoft.com/office/drawing/2014/main" id="{1CB14A46-E948-4BFC-8FC6-6673551A51CA}"/>
            </a:ext>
          </a:extLst>
        </xdr:cNvPr>
        <xdr:cNvSpPr>
          <a:spLocks noChangeAspect="1" noChangeArrowheads="1"/>
        </xdr:cNvSpPr>
      </xdr:nvSpPr>
      <xdr:spPr bwMode="auto">
        <a:xfrm>
          <a:off x="1885950" y="335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xdr:row>
      <xdr:rowOff>0</xdr:rowOff>
    </xdr:from>
    <xdr:ext cx="304800" cy="276830"/>
    <xdr:sp macro="" textlink="">
      <xdr:nvSpPr>
        <xdr:cNvPr id="578" name="AutoShape 212" descr="+">
          <a:extLst>
            <a:ext uri="{FF2B5EF4-FFF2-40B4-BE49-F238E27FC236}">
              <a16:creationId xmlns:a16="http://schemas.microsoft.com/office/drawing/2014/main" id="{EB0B0D20-1683-416E-A65A-F726F12C2174}"/>
            </a:ext>
          </a:extLst>
        </xdr:cNvPr>
        <xdr:cNvSpPr>
          <a:spLocks noChangeAspect="1" noChangeArrowheads="1"/>
        </xdr:cNvSpPr>
      </xdr:nvSpPr>
      <xdr:spPr bwMode="auto">
        <a:xfrm>
          <a:off x="1885950" y="3352800"/>
          <a:ext cx="304800" cy="2768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xdr:row>
      <xdr:rowOff>0</xdr:rowOff>
    </xdr:from>
    <xdr:ext cx="304800" cy="304802"/>
    <xdr:sp macro="" textlink="">
      <xdr:nvSpPr>
        <xdr:cNvPr id="579" name="AutoShape 226" descr="+">
          <a:extLst>
            <a:ext uri="{FF2B5EF4-FFF2-40B4-BE49-F238E27FC236}">
              <a16:creationId xmlns:a16="http://schemas.microsoft.com/office/drawing/2014/main" id="{D9B69A56-4D8E-4610-9D2B-2E95A2D85308}"/>
            </a:ext>
          </a:extLst>
        </xdr:cNvPr>
        <xdr:cNvSpPr>
          <a:spLocks noChangeAspect="1" noChangeArrowheads="1"/>
        </xdr:cNvSpPr>
      </xdr:nvSpPr>
      <xdr:spPr bwMode="auto">
        <a:xfrm>
          <a:off x="1885950" y="3352800"/>
          <a:ext cx="304800" cy="30480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xdr:row>
      <xdr:rowOff>0</xdr:rowOff>
    </xdr:from>
    <xdr:ext cx="304800" cy="306479"/>
    <xdr:sp macro="" textlink="">
      <xdr:nvSpPr>
        <xdr:cNvPr id="580" name="AutoShape 229" descr="+">
          <a:extLst>
            <a:ext uri="{FF2B5EF4-FFF2-40B4-BE49-F238E27FC236}">
              <a16:creationId xmlns:a16="http://schemas.microsoft.com/office/drawing/2014/main" id="{06A0DF07-EF9B-44ED-A79C-A70C88343BF5}"/>
            </a:ext>
          </a:extLst>
        </xdr:cNvPr>
        <xdr:cNvSpPr>
          <a:spLocks noChangeAspect="1" noChangeArrowheads="1"/>
        </xdr:cNvSpPr>
      </xdr:nvSpPr>
      <xdr:spPr bwMode="auto">
        <a:xfrm>
          <a:off x="1885950" y="3352800"/>
          <a:ext cx="304800" cy="3064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xdr:row>
      <xdr:rowOff>0</xdr:rowOff>
    </xdr:from>
    <xdr:ext cx="304800" cy="304801"/>
    <xdr:sp macro="" textlink="">
      <xdr:nvSpPr>
        <xdr:cNvPr id="581" name="AutoShape 230" descr="+">
          <a:extLst>
            <a:ext uri="{FF2B5EF4-FFF2-40B4-BE49-F238E27FC236}">
              <a16:creationId xmlns:a16="http://schemas.microsoft.com/office/drawing/2014/main" id="{ECA3C8B3-71BE-4815-861F-24E99BCD4491}"/>
            </a:ext>
          </a:extLst>
        </xdr:cNvPr>
        <xdr:cNvSpPr>
          <a:spLocks noChangeAspect="1" noChangeArrowheads="1"/>
        </xdr:cNvSpPr>
      </xdr:nvSpPr>
      <xdr:spPr bwMode="auto">
        <a:xfrm>
          <a:off x="1885950" y="33528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xdr:row>
      <xdr:rowOff>0</xdr:rowOff>
    </xdr:from>
    <xdr:ext cx="304800" cy="271743"/>
    <xdr:sp macro="" textlink="">
      <xdr:nvSpPr>
        <xdr:cNvPr id="582" name="AutoShape 258" descr="+">
          <a:extLst>
            <a:ext uri="{FF2B5EF4-FFF2-40B4-BE49-F238E27FC236}">
              <a16:creationId xmlns:a16="http://schemas.microsoft.com/office/drawing/2014/main" id="{DCC40CE4-7ABF-4D44-BEB9-F6BD9BEED97D}"/>
            </a:ext>
          </a:extLst>
        </xdr:cNvPr>
        <xdr:cNvSpPr>
          <a:spLocks noChangeAspect="1" noChangeArrowheads="1"/>
        </xdr:cNvSpPr>
      </xdr:nvSpPr>
      <xdr:spPr bwMode="auto">
        <a:xfrm>
          <a:off x="1885950" y="3352800"/>
          <a:ext cx="304800" cy="27174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xdr:row>
      <xdr:rowOff>0</xdr:rowOff>
    </xdr:from>
    <xdr:ext cx="304800" cy="304801"/>
    <xdr:sp macro="" textlink="">
      <xdr:nvSpPr>
        <xdr:cNvPr id="583" name="AutoShape 260" descr="+">
          <a:extLst>
            <a:ext uri="{FF2B5EF4-FFF2-40B4-BE49-F238E27FC236}">
              <a16:creationId xmlns:a16="http://schemas.microsoft.com/office/drawing/2014/main" id="{165D5D23-1439-47C8-8333-9A4B41FFC7FF}"/>
            </a:ext>
          </a:extLst>
        </xdr:cNvPr>
        <xdr:cNvSpPr>
          <a:spLocks noChangeAspect="1" noChangeArrowheads="1"/>
        </xdr:cNvSpPr>
      </xdr:nvSpPr>
      <xdr:spPr bwMode="auto">
        <a:xfrm>
          <a:off x="1885950" y="3352800"/>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xdr:row>
      <xdr:rowOff>0</xdr:rowOff>
    </xdr:from>
    <xdr:ext cx="304800" cy="308883"/>
    <xdr:sp macro="" textlink="">
      <xdr:nvSpPr>
        <xdr:cNvPr id="584" name="AutoShape 271" descr="+">
          <a:extLst>
            <a:ext uri="{FF2B5EF4-FFF2-40B4-BE49-F238E27FC236}">
              <a16:creationId xmlns:a16="http://schemas.microsoft.com/office/drawing/2014/main" id="{A869492D-2CB1-47E1-95A4-75EC647CD026}"/>
            </a:ext>
          </a:extLst>
        </xdr:cNvPr>
        <xdr:cNvSpPr>
          <a:spLocks noChangeAspect="1" noChangeArrowheads="1"/>
        </xdr:cNvSpPr>
      </xdr:nvSpPr>
      <xdr:spPr bwMode="auto">
        <a:xfrm>
          <a:off x="1885950" y="3352800"/>
          <a:ext cx="304800" cy="30888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xdr:row>
      <xdr:rowOff>0</xdr:rowOff>
    </xdr:from>
    <xdr:ext cx="304800" cy="305079"/>
    <xdr:sp macro="" textlink="">
      <xdr:nvSpPr>
        <xdr:cNvPr id="585" name="AutoShape 295" descr="+">
          <a:extLst>
            <a:ext uri="{FF2B5EF4-FFF2-40B4-BE49-F238E27FC236}">
              <a16:creationId xmlns:a16="http://schemas.microsoft.com/office/drawing/2014/main" id="{39CCBBFD-CBE5-45FB-A768-D20D284A0B83}"/>
            </a:ext>
          </a:extLst>
        </xdr:cNvPr>
        <xdr:cNvSpPr>
          <a:spLocks noChangeAspect="1" noChangeArrowheads="1"/>
        </xdr:cNvSpPr>
      </xdr:nvSpPr>
      <xdr:spPr bwMode="auto">
        <a:xfrm>
          <a:off x="1885950" y="3352800"/>
          <a:ext cx="304800" cy="30507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xdr:row>
      <xdr:rowOff>0</xdr:rowOff>
    </xdr:from>
    <xdr:ext cx="304800" cy="306478"/>
    <xdr:sp macro="" textlink="">
      <xdr:nvSpPr>
        <xdr:cNvPr id="586" name="AutoShape 297" descr="+">
          <a:extLst>
            <a:ext uri="{FF2B5EF4-FFF2-40B4-BE49-F238E27FC236}">
              <a16:creationId xmlns:a16="http://schemas.microsoft.com/office/drawing/2014/main" id="{D51A8E78-81E5-47C3-9046-3F33626CDC60}"/>
            </a:ext>
          </a:extLst>
        </xdr:cNvPr>
        <xdr:cNvSpPr>
          <a:spLocks noChangeAspect="1" noChangeArrowheads="1"/>
        </xdr:cNvSpPr>
      </xdr:nvSpPr>
      <xdr:spPr bwMode="auto">
        <a:xfrm>
          <a:off x="1885950" y="3352800"/>
          <a:ext cx="304800" cy="30647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4</xdr:col>
      <xdr:colOff>199847</xdr:colOff>
      <xdr:row>19</xdr:row>
      <xdr:rowOff>159204</xdr:rowOff>
    </xdr:from>
    <xdr:to>
      <xdr:col>10</xdr:col>
      <xdr:colOff>370471</xdr:colOff>
      <xdr:row>20</xdr:row>
      <xdr:rowOff>2245415</xdr:rowOff>
    </xdr:to>
    <xdr:pic>
      <xdr:nvPicPr>
        <xdr:cNvPr id="587" name="Picture 586">
          <a:extLst>
            <a:ext uri="{FF2B5EF4-FFF2-40B4-BE49-F238E27FC236}">
              <a16:creationId xmlns:a16="http://schemas.microsoft.com/office/drawing/2014/main" id="{01658AA8-50E8-4D05-957D-80DA772FA611}"/>
            </a:ext>
          </a:extLst>
        </xdr:cNvPr>
        <xdr:cNvPicPr>
          <a:picLocks noChangeAspect="1"/>
        </xdr:cNvPicPr>
      </xdr:nvPicPr>
      <xdr:blipFill>
        <a:blip xmlns:r="http://schemas.openxmlformats.org/officeDocument/2006/relationships" r:embed="rId2"/>
        <a:stretch>
          <a:fillRect/>
        </a:stretch>
      </xdr:blipFill>
      <xdr:spPr>
        <a:xfrm>
          <a:off x="6381572" y="5921829"/>
          <a:ext cx="6895274" cy="2248136"/>
        </a:xfrm>
        <a:prstGeom prst="rect">
          <a:avLst/>
        </a:prstGeom>
        <a:ln>
          <a:solidFill>
            <a:schemeClr val="tx1"/>
          </a:solidFill>
        </a:ln>
      </xdr:spPr>
    </xdr:pic>
    <xdr:clientData/>
  </xdr:twoCellAnchor>
  <xdr:oneCellAnchor>
    <xdr:from>
      <xdr:col>2</xdr:col>
      <xdr:colOff>0</xdr:colOff>
      <xdr:row>8</xdr:row>
      <xdr:rowOff>0</xdr:rowOff>
    </xdr:from>
    <xdr:ext cx="304800" cy="171731"/>
    <xdr:sp macro="" textlink="">
      <xdr:nvSpPr>
        <xdr:cNvPr id="588" name="AutoShape 4" descr="+">
          <a:extLst>
            <a:ext uri="{FF2B5EF4-FFF2-40B4-BE49-F238E27FC236}">
              <a16:creationId xmlns:a16="http://schemas.microsoft.com/office/drawing/2014/main" id="{60093FAF-2674-469F-A0CF-56474F258739}"/>
            </a:ext>
          </a:extLst>
        </xdr:cNvPr>
        <xdr:cNvSpPr>
          <a:spLocks noChangeAspect="1" noChangeArrowheads="1"/>
        </xdr:cNvSpPr>
      </xdr:nvSpPr>
      <xdr:spPr bwMode="auto">
        <a:xfrm>
          <a:off x="1888435" y="4447761"/>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71730"/>
    <xdr:sp macro="" textlink="">
      <xdr:nvSpPr>
        <xdr:cNvPr id="589" name="AutoShape 5" descr="+">
          <a:extLst>
            <a:ext uri="{FF2B5EF4-FFF2-40B4-BE49-F238E27FC236}">
              <a16:creationId xmlns:a16="http://schemas.microsoft.com/office/drawing/2014/main" id="{BD694EF4-EEA5-47EA-867D-FB62C37FCEFC}"/>
            </a:ext>
          </a:extLst>
        </xdr:cNvPr>
        <xdr:cNvSpPr>
          <a:spLocks noChangeAspect="1" noChangeArrowheads="1"/>
        </xdr:cNvSpPr>
      </xdr:nvSpPr>
      <xdr:spPr bwMode="auto">
        <a:xfrm>
          <a:off x="1888435" y="4447761"/>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01707"/>
    <xdr:sp macro="" textlink="">
      <xdr:nvSpPr>
        <xdr:cNvPr id="590" name="AutoShape 6" descr="+">
          <a:extLst>
            <a:ext uri="{FF2B5EF4-FFF2-40B4-BE49-F238E27FC236}">
              <a16:creationId xmlns:a16="http://schemas.microsoft.com/office/drawing/2014/main" id="{66FCA929-032B-49C3-8D5D-F85EFF38F247}"/>
            </a:ext>
          </a:extLst>
        </xdr:cNvPr>
        <xdr:cNvSpPr>
          <a:spLocks noChangeAspect="1" noChangeArrowheads="1"/>
        </xdr:cNvSpPr>
      </xdr:nvSpPr>
      <xdr:spPr bwMode="auto">
        <a:xfrm>
          <a:off x="1888435" y="4447761"/>
          <a:ext cx="304800" cy="20170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74665"/>
    <xdr:sp macro="" textlink="">
      <xdr:nvSpPr>
        <xdr:cNvPr id="591" name="AutoShape 7" descr="+">
          <a:extLst>
            <a:ext uri="{FF2B5EF4-FFF2-40B4-BE49-F238E27FC236}">
              <a16:creationId xmlns:a16="http://schemas.microsoft.com/office/drawing/2014/main" id="{0C6D7385-B3CF-459A-895E-42F0A4E262F8}"/>
            </a:ext>
          </a:extLst>
        </xdr:cNvPr>
        <xdr:cNvSpPr>
          <a:spLocks noChangeAspect="1" noChangeArrowheads="1"/>
        </xdr:cNvSpPr>
      </xdr:nvSpPr>
      <xdr:spPr bwMode="auto">
        <a:xfrm>
          <a:off x="1888435" y="4447761"/>
          <a:ext cx="304800" cy="17466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01708"/>
    <xdr:sp macro="" textlink="">
      <xdr:nvSpPr>
        <xdr:cNvPr id="592" name="AutoShape 8" descr="+">
          <a:extLst>
            <a:ext uri="{FF2B5EF4-FFF2-40B4-BE49-F238E27FC236}">
              <a16:creationId xmlns:a16="http://schemas.microsoft.com/office/drawing/2014/main" id="{BF3AD1D6-AC9D-40B3-AC77-B2564AC63F6E}"/>
            </a:ext>
          </a:extLst>
        </xdr:cNvPr>
        <xdr:cNvSpPr>
          <a:spLocks noChangeAspect="1" noChangeArrowheads="1"/>
        </xdr:cNvSpPr>
      </xdr:nvSpPr>
      <xdr:spPr bwMode="auto">
        <a:xfrm>
          <a:off x="1888435" y="4447761"/>
          <a:ext cx="304800" cy="20170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01705"/>
    <xdr:sp macro="" textlink="">
      <xdr:nvSpPr>
        <xdr:cNvPr id="593" name="AutoShape 9" descr="+">
          <a:extLst>
            <a:ext uri="{FF2B5EF4-FFF2-40B4-BE49-F238E27FC236}">
              <a16:creationId xmlns:a16="http://schemas.microsoft.com/office/drawing/2014/main" id="{0FEC47C1-04E9-4139-A68F-5BEC419AFCAF}"/>
            </a:ext>
          </a:extLst>
        </xdr:cNvPr>
        <xdr:cNvSpPr>
          <a:spLocks noChangeAspect="1" noChangeArrowheads="1"/>
        </xdr:cNvSpPr>
      </xdr:nvSpPr>
      <xdr:spPr bwMode="auto">
        <a:xfrm>
          <a:off x="1888435" y="4447761"/>
          <a:ext cx="304800" cy="20170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01708"/>
    <xdr:sp macro="" textlink="">
      <xdr:nvSpPr>
        <xdr:cNvPr id="594" name="AutoShape 10" descr="+">
          <a:extLst>
            <a:ext uri="{FF2B5EF4-FFF2-40B4-BE49-F238E27FC236}">
              <a16:creationId xmlns:a16="http://schemas.microsoft.com/office/drawing/2014/main" id="{530D7E96-0284-4D74-B5D1-A2EC35F6A914}"/>
            </a:ext>
          </a:extLst>
        </xdr:cNvPr>
        <xdr:cNvSpPr>
          <a:spLocks noChangeAspect="1" noChangeArrowheads="1"/>
        </xdr:cNvSpPr>
      </xdr:nvSpPr>
      <xdr:spPr bwMode="auto">
        <a:xfrm>
          <a:off x="1888435" y="4447761"/>
          <a:ext cx="304800" cy="20170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92180"/>
    <xdr:sp macro="" textlink="">
      <xdr:nvSpPr>
        <xdr:cNvPr id="595" name="AutoShape 11" descr="+">
          <a:extLst>
            <a:ext uri="{FF2B5EF4-FFF2-40B4-BE49-F238E27FC236}">
              <a16:creationId xmlns:a16="http://schemas.microsoft.com/office/drawing/2014/main" id="{A5462971-242B-492E-B4CA-365F840F4727}"/>
            </a:ext>
          </a:extLst>
        </xdr:cNvPr>
        <xdr:cNvSpPr>
          <a:spLocks noChangeAspect="1" noChangeArrowheads="1"/>
        </xdr:cNvSpPr>
      </xdr:nvSpPr>
      <xdr:spPr bwMode="auto">
        <a:xfrm>
          <a:off x="1888435" y="4447761"/>
          <a:ext cx="304800" cy="19218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70133"/>
    <xdr:sp macro="" textlink="">
      <xdr:nvSpPr>
        <xdr:cNvPr id="596" name="AutoShape 12" descr="+">
          <a:extLst>
            <a:ext uri="{FF2B5EF4-FFF2-40B4-BE49-F238E27FC236}">
              <a16:creationId xmlns:a16="http://schemas.microsoft.com/office/drawing/2014/main" id="{22C40F96-5D05-4295-B007-5BA6980C03C8}"/>
            </a:ext>
          </a:extLst>
        </xdr:cNvPr>
        <xdr:cNvSpPr>
          <a:spLocks noChangeAspect="1" noChangeArrowheads="1"/>
        </xdr:cNvSpPr>
      </xdr:nvSpPr>
      <xdr:spPr bwMode="auto">
        <a:xfrm>
          <a:off x="1888435" y="4447761"/>
          <a:ext cx="304800" cy="27013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73131"/>
    <xdr:sp macro="" textlink="">
      <xdr:nvSpPr>
        <xdr:cNvPr id="597" name="AutoShape 13" descr="+">
          <a:extLst>
            <a:ext uri="{FF2B5EF4-FFF2-40B4-BE49-F238E27FC236}">
              <a16:creationId xmlns:a16="http://schemas.microsoft.com/office/drawing/2014/main" id="{88443AF7-A8A2-4C1C-8900-451A2F683194}"/>
            </a:ext>
          </a:extLst>
        </xdr:cNvPr>
        <xdr:cNvSpPr>
          <a:spLocks noChangeAspect="1" noChangeArrowheads="1"/>
        </xdr:cNvSpPr>
      </xdr:nvSpPr>
      <xdr:spPr bwMode="auto">
        <a:xfrm>
          <a:off x="1888435" y="4447761"/>
          <a:ext cx="304800" cy="1731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01708"/>
    <xdr:sp macro="" textlink="">
      <xdr:nvSpPr>
        <xdr:cNvPr id="598" name="AutoShape 14" descr="+">
          <a:extLst>
            <a:ext uri="{FF2B5EF4-FFF2-40B4-BE49-F238E27FC236}">
              <a16:creationId xmlns:a16="http://schemas.microsoft.com/office/drawing/2014/main" id="{4C95C644-2A49-4738-90E1-07C3201B86AA}"/>
            </a:ext>
          </a:extLst>
        </xdr:cNvPr>
        <xdr:cNvSpPr>
          <a:spLocks noChangeAspect="1" noChangeArrowheads="1"/>
        </xdr:cNvSpPr>
      </xdr:nvSpPr>
      <xdr:spPr bwMode="auto">
        <a:xfrm>
          <a:off x="1888435" y="4447761"/>
          <a:ext cx="304800" cy="20170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01705"/>
    <xdr:sp macro="" textlink="">
      <xdr:nvSpPr>
        <xdr:cNvPr id="599" name="AutoShape 15" descr="+">
          <a:extLst>
            <a:ext uri="{FF2B5EF4-FFF2-40B4-BE49-F238E27FC236}">
              <a16:creationId xmlns:a16="http://schemas.microsoft.com/office/drawing/2014/main" id="{60CD7C59-B06D-4C74-978E-7FFB6700CD76}"/>
            </a:ext>
          </a:extLst>
        </xdr:cNvPr>
        <xdr:cNvSpPr>
          <a:spLocks noChangeAspect="1" noChangeArrowheads="1"/>
        </xdr:cNvSpPr>
      </xdr:nvSpPr>
      <xdr:spPr bwMode="auto">
        <a:xfrm>
          <a:off x="1888435" y="4447761"/>
          <a:ext cx="304800" cy="20170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91901"/>
    <xdr:sp macro="" textlink="">
      <xdr:nvSpPr>
        <xdr:cNvPr id="600" name="AutoShape 16" descr="+">
          <a:extLst>
            <a:ext uri="{FF2B5EF4-FFF2-40B4-BE49-F238E27FC236}">
              <a16:creationId xmlns:a16="http://schemas.microsoft.com/office/drawing/2014/main" id="{91CA10EF-BC4F-483B-A6B0-C945C66E9E34}"/>
            </a:ext>
          </a:extLst>
        </xdr:cNvPr>
        <xdr:cNvSpPr>
          <a:spLocks noChangeAspect="1" noChangeArrowheads="1"/>
        </xdr:cNvSpPr>
      </xdr:nvSpPr>
      <xdr:spPr bwMode="auto">
        <a:xfrm>
          <a:off x="1888435" y="4447761"/>
          <a:ext cx="304800" cy="1919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78133"/>
    <xdr:sp macro="" textlink="">
      <xdr:nvSpPr>
        <xdr:cNvPr id="601" name="AutoShape 17" descr="+">
          <a:extLst>
            <a:ext uri="{FF2B5EF4-FFF2-40B4-BE49-F238E27FC236}">
              <a16:creationId xmlns:a16="http://schemas.microsoft.com/office/drawing/2014/main" id="{6E3D90D9-9A61-4F5D-BC66-CC3684BE33AE}"/>
            </a:ext>
          </a:extLst>
        </xdr:cNvPr>
        <xdr:cNvSpPr>
          <a:spLocks noChangeAspect="1" noChangeArrowheads="1"/>
        </xdr:cNvSpPr>
      </xdr:nvSpPr>
      <xdr:spPr bwMode="auto">
        <a:xfrm>
          <a:off x="1888435" y="4447761"/>
          <a:ext cx="304800" cy="17813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78135"/>
    <xdr:sp macro="" textlink="">
      <xdr:nvSpPr>
        <xdr:cNvPr id="602" name="AutoShape 18" descr="+">
          <a:extLst>
            <a:ext uri="{FF2B5EF4-FFF2-40B4-BE49-F238E27FC236}">
              <a16:creationId xmlns:a16="http://schemas.microsoft.com/office/drawing/2014/main" id="{B643415D-8830-40AA-BCDE-E387D9EDBC35}"/>
            </a:ext>
          </a:extLst>
        </xdr:cNvPr>
        <xdr:cNvSpPr>
          <a:spLocks noChangeAspect="1" noChangeArrowheads="1"/>
        </xdr:cNvSpPr>
      </xdr:nvSpPr>
      <xdr:spPr bwMode="auto">
        <a:xfrm>
          <a:off x="1888435" y="4447761"/>
          <a:ext cx="304800" cy="17813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79535"/>
    <xdr:sp macro="" textlink="">
      <xdr:nvSpPr>
        <xdr:cNvPr id="603" name="AutoShape 19" descr="+">
          <a:extLst>
            <a:ext uri="{FF2B5EF4-FFF2-40B4-BE49-F238E27FC236}">
              <a16:creationId xmlns:a16="http://schemas.microsoft.com/office/drawing/2014/main" id="{62719FF8-4A9F-4297-A5C5-0DEB44B599B6}"/>
            </a:ext>
          </a:extLst>
        </xdr:cNvPr>
        <xdr:cNvSpPr>
          <a:spLocks noChangeAspect="1" noChangeArrowheads="1"/>
        </xdr:cNvSpPr>
      </xdr:nvSpPr>
      <xdr:spPr bwMode="auto">
        <a:xfrm>
          <a:off x="1888435" y="4447761"/>
          <a:ext cx="304800" cy="17953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78132"/>
    <xdr:sp macro="" textlink="">
      <xdr:nvSpPr>
        <xdr:cNvPr id="604" name="AutoShape 20" descr="+">
          <a:extLst>
            <a:ext uri="{FF2B5EF4-FFF2-40B4-BE49-F238E27FC236}">
              <a16:creationId xmlns:a16="http://schemas.microsoft.com/office/drawing/2014/main" id="{B3A20879-D00B-40FF-8F0F-263DEDC9FC24}"/>
            </a:ext>
          </a:extLst>
        </xdr:cNvPr>
        <xdr:cNvSpPr>
          <a:spLocks noChangeAspect="1" noChangeArrowheads="1"/>
        </xdr:cNvSpPr>
      </xdr:nvSpPr>
      <xdr:spPr bwMode="auto">
        <a:xfrm>
          <a:off x="1888435" y="4447761"/>
          <a:ext cx="304800" cy="17813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08112"/>
    <xdr:sp macro="" textlink="">
      <xdr:nvSpPr>
        <xdr:cNvPr id="605" name="AutoShape 21" descr="+">
          <a:extLst>
            <a:ext uri="{FF2B5EF4-FFF2-40B4-BE49-F238E27FC236}">
              <a16:creationId xmlns:a16="http://schemas.microsoft.com/office/drawing/2014/main" id="{56678721-9FA9-42F9-959F-EFB2C7816AD6}"/>
            </a:ext>
          </a:extLst>
        </xdr:cNvPr>
        <xdr:cNvSpPr>
          <a:spLocks noChangeAspect="1" noChangeArrowheads="1"/>
        </xdr:cNvSpPr>
      </xdr:nvSpPr>
      <xdr:spPr bwMode="auto">
        <a:xfrm>
          <a:off x="1888435" y="4447761"/>
          <a:ext cx="304800" cy="2081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08107"/>
    <xdr:sp macro="" textlink="">
      <xdr:nvSpPr>
        <xdr:cNvPr id="606" name="AutoShape 22" descr="+">
          <a:extLst>
            <a:ext uri="{FF2B5EF4-FFF2-40B4-BE49-F238E27FC236}">
              <a16:creationId xmlns:a16="http://schemas.microsoft.com/office/drawing/2014/main" id="{4FB0FA82-57CA-4093-A57A-E81F25C2EBC6}"/>
            </a:ext>
          </a:extLst>
        </xdr:cNvPr>
        <xdr:cNvSpPr>
          <a:spLocks noChangeAspect="1" noChangeArrowheads="1"/>
        </xdr:cNvSpPr>
      </xdr:nvSpPr>
      <xdr:spPr bwMode="auto">
        <a:xfrm>
          <a:off x="1888435" y="4447761"/>
          <a:ext cx="304800" cy="20810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08111"/>
    <xdr:sp macro="" textlink="">
      <xdr:nvSpPr>
        <xdr:cNvPr id="607" name="AutoShape 23" descr="+">
          <a:extLst>
            <a:ext uri="{FF2B5EF4-FFF2-40B4-BE49-F238E27FC236}">
              <a16:creationId xmlns:a16="http://schemas.microsoft.com/office/drawing/2014/main" id="{F46E59D7-38AE-46C1-9CAF-49F01D9275D4}"/>
            </a:ext>
          </a:extLst>
        </xdr:cNvPr>
        <xdr:cNvSpPr>
          <a:spLocks noChangeAspect="1" noChangeArrowheads="1"/>
        </xdr:cNvSpPr>
      </xdr:nvSpPr>
      <xdr:spPr bwMode="auto">
        <a:xfrm>
          <a:off x="1888435" y="4447761"/>
          <a:ext cx="304800" cy="2081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98584"/>
    <xdr:sp macro="" textlink="">
      <xdr:nvSpPr>
        <xdr:cNvPr id="608" name="AutoShape 24" descr="+">
          <a:extLst>
            <a:ext uri="{FF2B5EF4-FFF2-40B4-BE49-F238E27FC236}">
              <a16:creationId xmlns:a16="http://schemas.microsoft.com/office/drawing/2014/main" id="{3064BF07-CBA3-43FF-95BD-662477E18D70}"/>
            </a:ext>
          </a:extLst>
        </xdr:cNvPr>
        <xdr:cNvSpPr>
          <a:spLocks noChangeAspect="1" noChangeArrowheads="1"/>
        </xdr:cNvSpPr>
      </xdr:nvSpPr>
      <xdr:spPr bwMode="auto">
        <a:xfrm>
          <a:off x="1888435" y="4447761"/>
          <a:ext cx="304800" cy="19858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08110"/>
    <xdr:sp macro="" textlink="">
      <xdr:nvSpPr>
        <xdr:cNvPr id="609" name="AutoShape 25" descr="+">
          <a:extLst>
            <a:ext uri="{FF2B5EF4-FFF2-40B4-BE49-F238E27FC236}">
              <a16:creationId xmlns:a16="http://schemas.microsoft.com/office/drawing/2014/main" id="{759DE48D-D677-4C26-B7D5-92134E40BA14}"/>
            </a:ext>
          </a:extLst>
        </xdr:cNvPr>
        <xdr:cNvSpPr>
          <a:spLocks noChangeAspect="1" noChangeArrowheads="1"/>
        </xdr:cNvSpPr>
      </xdr:nvSpPr>
      <xdr:spPr bwMode="auto">
        <a:xfrm>
          <a:off x="1888435" y="4447761"/>
          <a:ext cx="304800" cy="2081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08110"/>
    <xdr:sp macro="" textlink="">
      <xdr:nvSpPr>
        <xdr:cNvPr id="610" name="AutoShape 26" descr="+">
          <a:extLst>
            <a:ext uri="{FF2B5EF4-FFF2-40B4-BE49-F238E27FC236}">
              <a16:creationId xmlns:a16="http://schemas.microsoft.com/office/drawing/2014/main" id="{EBC84322-5214-4F65-B76A-6BC7819B9A97}"/>
            </a:ext>
          </a:extLst>
        </xdr:cNvPr>
        <xdr:cNvSpPr>
          <a:spLocks noChangeAspect="1" noChangeArrowheads="1"/>
        </xdr:cNvSpPr>
      </xdr:nvSpPr>
      <xdr:spPr bwMode="auto">
        <a:xfrm>
          <a:off x="1888435" y="4447761"/>
          <a:ext cx="304800" cy="2081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79535"/>
    <xdr:sp macro="" textlink="">
      <xdr:nvSpPr>
        <xdr:cNvPr id="611" name="AutoShape 27" descr="+">
          <a:extLst>
            <a:ext uri="{FF2B5EF4-FFF2-40B4-BE49-F238E27FC236}">
              <a16:creationId xmlns:a16="http://schemas.microsoft.com/office/drawing/2014/main" id="{5030FD1E-A4E3-4380-8C60-F577C3141766}"/>
            </a:ext>
          </a:extLst>
        </xdr:cNvPr>
        <xdr:cNvSpPr>
          <a:spLocks noChangeAspect="1" noChangeArrowheads="1"/>
        </xdr:cNvSpPr>
      </xdr:nvSpPr>
      <xdr:spPr bwMode="auto">
        <a:xfrm>
          <a:off x="1888435" y="4447761"/>
          <a:ext cx="304800" cy="17953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08107"/>
    <xdr:sp macro="" textlink="">
      <xdr:nvSpPr>
        <xdr:cNvPr id="612" name="AutoShape 28" descr="+">
          <a:extLst>
            <a:ext uri="{FF2B5EF4-FFF2-40B4-BE49-F238E27FC236}">
              <a16:creationId xmlns:a16="http://schemas.microsoft.com/office/drawing/2014/main" id="{2885BDF2-DA64-4405-8D92-50A17A5101E5}"/>
            </a:ext>
          </a:extLst>
        </xdr:cNvPr>
        <xdr:cNvSpPr>
          <a:spLocks noChangeAspect="1" noChangeArrowheads="1"/>
        </xdr:cNvSpPr>
      </xdr:nvSpPr>
      <xdr:spPr bwMode="auto">
        <a:xfrm>
          <a:off x="1888435" y="4447761"/>
          <a:ext cx="304800" cy="20810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01711"/>
    <xdr:sp macro="" textlink="">
      <xdr:nvSpPr>
        <xdr:cNvPr id="613" name="AutoShape 29" descr="+">
          <a:extLst>
            <a:ext uri="{FF2B5EF4-FFF2-40B4-BE49-F238E27FC236}">
              <a16:creationId xmlns:a16="http://schemas.microsoft.com/office/drawing/2014/main" id="{6FAEE8E4-65AD-4E1A-9F76-74241ECC4693}"/>
            </a:ext>
          </a:extLst>
        </xdr:cNvPr>
        <xdr:cNvSpPr>
          <a:spLocks noChangeAspect="1" noChangeArrowheads="1"/>
        </xdr:cNvSpPr>
      </xdr:nvSpPr>
      <xdr:spPr bwMode="auto">
        <a:xfrm>
          <a:off x="1888435" y="4447761"/>
          <a:ext cx="304800" cy="2017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71731"/>
    <xdr:sp macro="" textlink="">
      <xdr:nvSpPr>
        <xdr:cNvPr id="614" name="AutoShape 30" descr="+">
          <a:extLst>
            <a:ext uri="{FF2B5EF4-FFF2-40B4-BE49-F238E27FC236}">
              <a16:creationId xmlns:a16="http://schemas.microsoft.com/office/drawing/2014/main" id="{DB9DD137-510D-470D-BF65-488E02DEC238}"/>
            </a:ext>
          </a:extLst>
        </xdr:cNvPr>
        <xdr:cNvSpPr>
          <a:spLocks noChangeAspect="1" noChangeArrowheads="1"/>
        </xdr:cNvSpPr>
      </xdr:nvSpPr>
      <xdr:spPr bwMode="auto">
        <a:xfrm>
          <a:off x="1888435" y="4447761"/>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71730"/>
    <xdr:sp macro="" textlink="">
      <xdr:nvSpPr>
        <xdr:cNvPr id="615" name="AutoShape 31" descr="+">
          <a:extLst>
            <a:ext uri="{FF2B5EF4-FFF2-40B4-BE49-F238E27FC236}">
              <a16:creationId xmlns:a16="http://schemas.microsoft.com/office/drawing/2014/main" id="{4BBB8AF7-85DE-49AC-9267-C92C6F3459C5}"/>
            </a:ext>
          </a:extLst>
        </xdr:cNvPr>
        <xdr:cNvSpPr>
          <a:spLocks noChangeAspect="1" noChangeArrowheads="1"/>
        </xdr:cNvSpPr>
      </xdr:nvSpPr>
      <xdr:spPr bwMode="auto">
        <a:xfrm>
          <a:off x="1888435" y="4447761"/>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0"/>
    <xdr:sp macro="" textlink="">
      <xdr:nvSpPr>
        <xdr:cNvPr id="616" name="AutoShape 32" descr="+">
          <a:extLst>
            <a:ext uri="{FF2B5EF4-FFF2-40B4-BE49-F238E27FC236}">
              <a16:creationId xmlns:a16="http://schemas.microsoft.com/office/drawing/2014/main" id="{9176F051-60C7-4789-921D-48E7C96152D7}"/>
            </a:ext>
          </a:extLst>
        </xdr:cNvPr>
        <xdr:cNvSpPr>
          <a:spLocks noChangeAspect="1" noChangeArrowheads="1"/>
        </xdr:cNvSpPr>
      </xdr:nvSpPr>
      <xdr:spPr bwMode="auto">
        <a:xfrm>
          <a:off x="1888435" y="4447761"/>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03088"/>
    <xdr:sp macro="" textlink="">
      <xdr:nvSpPr>
        <xdr:cNvPr id="617" name="AutoShape 33" descr="+">
          <a:extLst>
            <a:ext uri="{FF2B5EF4-FFF2-40B4-BE49-F238E27FC236}">
              <a16:creationId xmlns:a16="http://schemas.microsoft.com/office/drawing/2014/main" id="{48C0D024-C4ED-496A-A610-F80614135026}"/>
            </a:ext>
          </a:extLst>
        </xdr:cNvPr>
        <xdr:cNvSpPr>
          <a:spLocks noChangeAspect="1" noChangeArrowheads="1"/>
        </xdr:cNvSpPr>
      </xdr:nvSpPr>
      <xdr:spPr bwMode="auto">
        <a:xfrm>
          <a:off x="1888435" y="4447761"/>
          <a:ext cx="304800" cy="2030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3"/>
    <xdr:sp macro="" textlink="">
      <xdr:nvSpPr>
        <xdr:cNvPr id="618" name="AutoShape 34" descr="+">
          <a:extLst>
            <a:ext uri="{FF2B5EF4-FFF2-40B4-BE49-F238E27FC236}">
              <a16:creationId xmlns:a16="http://schemas.microsoft.com/office/drawing/2014/main" id="{13973312-9868-47AB-A1B5-131D0F0778C7}"/>
            </a:ext>
          </a:extLst>
        </xdr:cNvPr>
        <xdr:cNvSpPr>
          <a:spLocks noChangeAspect="1" noChangeArrowheads="1"/>
        </xdr:cNvSpPr>
      </xdr:nvSpPr>
      <xdr:spPr bwMode="auto">
        <a:xfrm>
          <a:off x="1888435" y="4447761"/>
          <a:ext cx="304800" cy="2105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71731"/>
    <xdr:sp macro="" textlink="">
      <xdr:nvSpPr>
        <xdr:cNvPr id="619" name="AutoShape 52" descr="+">
          <a:extLst>
            <a:ext uri="{FF2B5EF4-FFF2-40B4-BE49-F238E27FC236}">
              <a16:creationId xmlns:a16="http://schemas.microsoft.com/office/drawing/2014/main" id="{AEFDC8B9-EE24-46A6-88B1-EF043C4B9D5C}"/>
            </a:ext>
          </a:extLst>
        </xdr:cNvPr>
        <xdr:cNvSpPr>
          <a:spLocks noChangeAspect="1" noChangeArrowheads="1"/>
        </xdr:cNvSpPr>
      </xdr:nvSpPr>
      <xdr:spPr bwMode="auto">
        <a:xfrm>
          <a:off x="1888435" y="4447761"/>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71730"/>
    <xdr:sp macro="" textlink="">
      <xdr:nvSpPr>
        <xdr:cNvPr id="620" name="AutoShape 53" descr="+">
          <a:extLst>
            <a:ext uri="{FF2B5EF4-FFF2-40B4-BE49-F238E27FC236}">
              <a16:creationId xmlns:a16="http://schemas.microsoft.com/office/drawing/2014/main" id="{23875092-2B21-43FB-B7F6-EE2BE79DF9EF}"/>
            </a:ext>
          </a:extLst>
        </xdr:cNvPr>
        <xdr:cNvSpPr>
          <a:spLocks noChangeAspect="1" noChangeArrowheads="1"/>
        </xdr:cNvSpPr>
      </xdr:nvSpPr>
      <xdr:spPr bwMode="auto">
        <a:xfrm>
          <a:off x="1888435" y="4447761"/>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86698"/>
    <xdr:sp macro="" textlink="">
      <xdr:nvSpPr>
        <xdr:cNvPr id="621" name="AutoShape 54" descr="+">
          <a:extLst>
            <a:ext uri="{FF2B5EF4-FFF2-40B4-BE49-F238E27FC236}">
              <a16:creationId xmlns:a16="http://schemas.microsoft.com/office/drawing/2014/main" id="{EE7EFEF0-A5D3-4A5A-938D-84194E69F34A}"/>
            </a:ext>
          </a:extLst>
        </xdr:cNvPr>
        <xdr:cNvSpPr>
          <a:spLocks noChangeAspect="1" noChangeArrowheads="1"/>
        </xdr:cNvSpPr>
      </xdr:nvSpPr>
      <xdr:spPr bwMode="auto">
        <a:xfrm>
          <a:off x="1888435" y="4447761"/>
          <a:ext cx="304800" cy="18669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71731"/>
    <xdr:sp macro="" textlink="">
      <xdr:nvSpPr>
        <xdr:cNvPr id="622" name="AutoShape 55" descr="+">
          <a:extLst>
            <a:ext uri="{FF2B5EF4-FFF2-40B4-BE49-F238E27FC236}">
              <a16:creationId xmlns:a16="http://schemas.microsoft.com/office/drawing/2014/main" id="{19F07D7B-9C69-4CD1-8645-BA25E2DB8444}"/>
            </a:ext>
          </a:extLst>
        </xdr:cNvPr>
        <xdr:cNvSpPr>
          <a:spLocks noChangeAspect="1" noChangeArrowheads="1"/>
        </xdr:cNvSpPr>
      </xdr:nvSpPr>
      <xdr:spPr bwMode="auto">
        <a:xfrm>
          <a:off x="1888435" y="4447761"/>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1"/>
    <xdr:sp macro="" textlink="">
      <xdr:nvSpPr>
        <xdr:cNvPr id="623" name="AutoShape 56" descr="+">
          <a:extLst>
            <a:ext uri="{FF2B5EF4-FFF2-40B4-BE49-F238E27FC236}">
              <a16:creationId xmlns:a16="http://schemas.microsoft.com/office/drawing/2014/main" id="{CE7DC5F7-9692-4475-9B1F-FAF794367214}"/>
            </a:ext>
          </a:extLst>
        </xdr:cNvPr>
        <xdr:cNvSpPr>
          <a:spLocks noChangeAspect="1" noChangeArrowheads="1"/>
        </xdr:cNvSpPr>
      </xdr:nvSpPr>
      <xdr:spPr bwMode="auto">
        <a:xfrm>
          <a:off x="1888435" y="4447761"/>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09"/>
    <xdr:sp macro="" textlink="">
      <xdr:nvSpPr>
        <xdr:cNvPr id="624" name="AutoShape 57" descr="+">
          <a:extLst>
            <a:ext uri="{FF2B5EF4-FFF2-40B4-BE49-F238E27FC236}">
              <a16:creationId xmlns:a16="http://schemas.microsoft.com/office/drawing/2014/main" id="{939C4544-852E-406A-8B47-F5AB477B53A6}"/>
            </a:ext>
          </a:extLst>
        </xdr:cNvPr>
        <xdr:cNvSpPr>
          <a:spLocks noChangeAspect="1" noChangeArrowheads="1"/>
        </xdr:cNvSpPr>
      </xdr:nvSpPr>
      <xdr:spPr bwMode="auto">
        <a:xfrm>
          <a:off x="1888435" y="4447761"/>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2"/>
    <xdr:sp macro="" textlink="">
      <xdr:nvSpPr>
        <xdr:cNvPr id="625" name="AutoShape 58" descr="+">
          <a:extLst>
            <a:ext uri="{FF2B5EF4-FFF2-40B4-BE49-F238E27FC236}">
              <a16:creationId xmlns:a16="http://schemas.microsoft.com/office/drawing/2014/main" id="{3E41A0C2-D5A4-4CF2-85D1-096CF3438937}"/>
            </a:ext>
          </a:extLst>
        </xdr:cNvPr>
        <xdr:cNvSpPr>
          <a:spLocks noChangeAspect="1" noChangeArrowheads="1"/>
        </xdr:cNvSpPr>
      </xdr:nvSpPr>
      <xdr:spPr bwMode="auto">
        <a:xfrm>
          <a:off x="1888435" y="4447761"/>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386"/>
    <xdr:sp macro="" textlink="">
      <xdr:nvSpPr>
        <xdr:cNvPr id="626" name="AutoShape 59" descr="+">
          <a:extLst>
            <a:ext uri="{FF2B5EF4-FFF2-40B4-BE49-F238E27FC236}">
              <a16:creationId xmlns:a16="http://schemas.microsoft.com/office/drawing/2014/main" id="{65E53851-7917-4A08-ADC6-49535DFABD9B}"/>
            </a:ext>
          </a:extLst>
        </xdr:cNvPr>
        <xdr:cNvSpPr>
          <a:spLocks noChangeAspect="1" noChangeArrowheads="1"/>
        </xdr:cNvSpPr>
      </xdr:nvSpPr>
      <xdr:spPr bwMode="auto">
        <a:xfrm>
          <a:off x="1888435" y="4447761"/>
          <a:ext cx="304800" cy="30438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81937"/>
    <xdr:sp macro="" textlink="">
      <xdr:nvSpPr>
        <xdr:cNvPr id="627" name="AutoShape 60" descr="+">
          <a:extLst>
            <a:ext uri="{FF2B5EF4-FFF2-40B4-BE49-F238E27FC236}">
              <a16:creationId xmlns:a16="http://schemas.microsoft.com/office/drawing/2014/main" id="{DCDC9E43-8F4D-47E4-B798-2996C01FDC33}"/>
            </a:ext>
          </a:extLst>
        </xdr:cNvPr>
        <xdr:cNvSpPr>
          <a:spLocks noChangeAspect="1" noChangeArrowheads="1"/>
        </xdr:cNvSpPr>
      </xdr:nvSpPr>
      <xdr:spPr bwMode="auto">
        <a:xfrm>
          <a:off x="1888435" y="4447761"/>
          <a:ext cx="304800" cy="18193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0"/>
    <xdr:sp macro="" textlink="">
      <xdr:nvSpPr>
        <xdr:cNvPr id="628" name="AutoShape 61" descr="+">
          <a:extLst>
            <a:ext uri="{FF2B5EF4-FFF2-40B4-BE49-F238E27FC236}">
              <a16:creationId xmlns:a16="http://schemas.microsoft.com/office/drawing/2014/main" id="{1189D1C6-C49B-4DB0-84E5-E993F5204527}"/>
            </a:ext>
          </a:extLst>
        </xdr:cNvPr>
        <xdr:cNvSpPr>
          <a:spLocks noChangeAspect="1" noChangeArrowheads="1"/>
        </xdr:cNvSpPr>
      </xdr:nvSpPr>
      <xdr:spPr bwMode="auto">
        <a:xfrm>
          <a:off x="1888435" y="4447761"/>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1"/>
    <xdr:sp macro="" textlink="">
      <xdr:nvSpPr>
        <xdr:cNvPr id="629" name="AutoShape 62" descr="+">
          <a:extLst>
            <a:ext uri="{FF2B5EF4-FFF2-40B4-BE49-F238E27FC236}">
              <a16:creationId xmlns:a16="http://schemas.microsoft.com/office/drawing/2014/main" id="{000BBF52-1F63-441A-95E9-420F0587C41D}"/>
            </a:ext>
          </a:extLst>
        </xdr:cNvPr>
        <xdr:cNvSpPr>
          <a:spLocks noChangeAspect="1" noChangeArrowheads="1"/>
        </xdr:cNvSpPr>
      </xdr:nvSpPr>
      <xdr:spPr bwMode="auto">
        <a:xfrm>
          <a:off x="1888435" y="4447761"/>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1"/>
    <xdr:sp macro="" textlink="">
      <xdr:nvSpPr>
        <xdr:cNvPr id="630" name="AutoShape 63" descr="+">
          <a:extLst>
            <a:ext uri="{FF2B5EF4-FFF2-40B4-BE49-F238E27FC236}">
              <a16:creationId xmlns:a16="http://schemas.microsoft.com/office/drawing/2014/main" id="{9B1D8D5C-7A78-4A1E-AD9D-4DC3583978D6}"/>
            </a:ext>
          </a:extLst>
        </xdr:cNvPr>
        <xdr:cNvSpPr>
          <a:spLocks noChangeAspect="1" noChangeArrowheads="1"/>
        </xdr:cNvSpPr>
      </xdr:nvSpPr>
      <xdr:spPr bwMode="auto">
        <a:xfrm>
          <a:off x="1888435" y="4447761"/>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2"/>
    <xdr:sp macro="" textlink="">
      <xdr:nvSpPr>
        <xdr:cNvPr id="631" name="AutoShape 64" descr="+">
          <a:extLst>
            <a:ext uri="{FF2B5EF4-FFF2-40B4-BE49-F238E27FC236}">
              <a16:creationId xmlns:a16="http://schemas.microsoft.com/office/drawing/2014/main" id="{10F2EA97-B41C-45BD-9324-DED6227D48C0}"/>
            </a:ext>
          </a:extLst>
        </xdr:cNvPr>
        <xdr:cNvSpPr>
          <a:spLocks noChangeAspect="1" noChangeArrowheads="1"/>
        </xdr:cNvSpPr>
      </xdr:nvSpPr>
      <xdr:spPr bwMode="auto">
        <a:xfrm>
          <a:off x="1888435" y="4447761"/>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86696"/>
    <xdr:sp macro="" textlink="">
      <xdr:nvSpPr>
        <xdr:cNvPr id="632" name="AutoShape 65" descr="+">
          <a:extLst>
            <a:ext uri="{FF2B5EF4-FFF2-40B4-BE49-F238E27FC236}">
              <a16:creationId xmlns:a16="http://schemas.microsoft.com/office/drawing/2014/main" id="{23AD0AF3-F633-43B6-BB02-FFA6CE6723E0}"/>
            </a:ext>
          </a:extLst>
        </xdr:cNvPr>
        <xdr:cNvSpPr>
          <a:spLocks noChangeAspect="1" noChangeArrowheads="1"/>
        </xdr:cNvSpPr>
      </xdr:nvSpPr>
      <xdr:spPr bwMode="auto">
        <a:xfrm>
          <a:off x="1888435" y="4447761"/>
          <a:ext cx="304800" cy="18669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2"/>
    <xdr:sp macro="" textlink="">
      <xdr:nvSpPr>
        <xdr:cNvPr id="633" name="AutoShape 66" descr="+">
          <a:extLst>
            <a:ext uri="{FF2B5EF4-FFF2-40B4-BE49-F238E27FC236}">
              <a16:creationId xmlns:a16="http://schemas.microsoft.com/office/drawing/2014/main" id="{375402F9-18D6-481B-9D71-E9165E5B2A2F}"/>
            </a:ext>
          </a:extLst>
        </xdr:cNvPr>
        <xdr:cNvSpPr>
          <a:spLocks noChangeAspect="1" noChangeArrowheads="1"/>
        </xdr:cNvSpPr>
      </xdr:nvSpPr>
      <xdr:spPr bwMode="auto">
        <a:xfrm>
          <a:off x="1888435" y="4447761"/>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04108"/>
    <xdr:sp macro="" textlink="">
      <xdr:nvSpPr>
        <xdr:cNvPr id="634" name="AutoShape 67" descr="+">
          <a:extLst>
            <a:ext uri="{FF2B5EF4-FFF2-40B4-BE49-F238E27FC236}">
              <a16:creationId xmlns:a16="http://schemas.microsoft.com/office/drawing/2014/main" id="{D3A93B73-987B-400E-9516-0F8D4495610E}"/>
            </a:ext>
          </a:extLst>
        </xdr:cNvPr>
        <xdr:cNvSpPr>
          <a:spLocks noChangeAspect="1" noChangeArrowheads="1"/>
        </xdr:cNvSpPr>
      </xdr:nvSpPr>
      <xdr:spPr bwMode="auto">
        <a:xfrm>
          <a:off x="1888435" y="4447761"/>
          <a:ext cx="304800" cy="20410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04108"/>
    <xdr:sp macro="" textlink="">
      <xdr:nvSpPr>
        <xdr:cNvPr id="635" name="AutoShape 68" descr="+">
          <a:extLst>
            <a:ext uri="{FF2B5EF4-FFF2-40B4-BE49-F238E27FC236}">
              <a16:creationId xmlns:a16="http://schemas.microsoft.com/office/drawing/2014/main" id="{960534A1-FD42-4963-AD97-5C9CABB40068}"/>
            </a:ext>
          </a:extLst>
        </xdr:cNvPr>
        <xdr:cNvSpPr>
          <a:spLocks noChangeAspect="1" noChangeArrowheads="1"/>
        </xdr:cNvSpPr>
      </xdr:nvSpPr>
      <xdr:spPr bwMode="auto">
        <a:xfrm>
          <a:off x="1888435" y="4447761"/>
          <a:ext cx="304800" cy="20410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71731"/>
    <xdr:sp macro="" textlink="">
      <xdr:nvSpPr>
        <xdr:cNvPr id="636" name="AutoShape 69" descr="+">
          <a:extLst>
            <a:ext uri="{FF2B5EF4-FFF2-40B4-BE49-F238E27FC236}">
              <a16:creationId xmlns:a16="http://schemas.microsoft.com/office/drawing/2014/main" id="{22AEB4CA-0478-4015-A686-7FD1BB51DCB8}"/>
            </a:ext>
          </a:extLst>
        </xdr:cNvPr>
        <xdr:cNvSpPr>
          <a:spLocks noChangeAspect="1" noChangeArrowheads="1"/>
        </xdr:cNvSpPr>
      </xdr:nvSpPr>
      <xdr:spPr bwMode="auto">
        <a:xfrm>
          <a:off x="1888435" y="4447761"/>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76492"/>
    <xdr:sp macro="" textlink="">
      <xdr:nvSpPr>
        <xdr:cNvPr id="637" name="AutoShape 70" descr="+">
          <a:extLst>
            <a:ext uri="{FF2B5EF4-FFF2-40B4-BE49-F238E27FC236}">
              <a16:creationId xmlns:a16="http://schemas.microsoft.com/office/drawing/2014/main" id="{D63ADA8E-911E-40B3-9324-ADFFEF700075}"/>
            </a:ext>
          </a:extLst>
        </xdr:cNvPr>
        <xdr:cNvSpPr>
          <a:spLocks noChangeAspect="1" noChangeArrowheads="1"/>
        </xdr:cNvSpPr>
      </xdr:nvSpPr>
      <xdr:spPr bwMode="auto">
        <a:xfrm>
          <a:off x="1888435" y="4447761"/>
          <a:ext cx="304800" cy="1764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71732"/>
    <xdr:sp macro="" textlink="">
      <xdr:nvSpPr>
        <xdr:cNvPr id="638" name="AutoShape 71" descr="+">
          <a:extLst>
            <a:ext uri="{FF2B5EF4-FFF2-40B4-BE49-F238E27FC236}">
              <a16:creationId xmlns:a16="http://schemas.microsoft.com/office/drawing/2014/main" id="{F8C52046-F201-480D-81FE-48D9BF5239ED}"/>
            </a:ext>
          </a:extLst>
        </xdr:cNvPr>
        <xdr:cNvSpPr>
          <a:spLocks noChangeAspect="1" noChangeArrowheads="1"/>
        </xdr:cNvSpPr>
      </xdr:nvSpPr>
      <xdr:spPr bwMode="auto">
        <a:xfrm>
          <a:off x="1888435" y="4447761"/>
          <a:ext cx="304800" cy="17173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09"/>
    <xdr:sp macro="" textlink="">
      <xdr:nvSpPr>
        <xdr:cNvPr id="639" name="AutoShape 72" descr="+">
          <a:extLst>
            <a:ext uri="{FF2B5EF4-FFF2-40B4-BE49-F238E27FC236}">
              <a16:creationId xmlns:a16="http://schemas.microsoft.com/office/drawing/2014/main" id="{1E190E29-B521-4DDA-873C-2EBA55A72F94}"/>
            </a:ext>
          </a:extLst>
        </xdr:cNvPr>
        <xdr:cNvSpPr>
          <a:spLocks noChangeAspect="1" noChangeArrowheads="1"/>
        </xdr:cNvSpPr>
      </xdr:nvSpPr>
      <xdr:spPr bwMode="auto">
        <a:xfrm>
          <a:off x="1888435" y="4447761"/>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2"/>
    <xdr:sp macro="" textlink="">
      <xdr:nvSpPr>
        <xdr:cNvPr id="640" name="AutoShape 73" descr="+">
          <a:extLst>
            <a:ext uri="{FF2B5EF4-FFF2-40B4-BE49-F238E27FC236}">
              <a16:creationId xmlns:a16="http://schemas.microsoft.com/office/drawing/2014/main" id="{BB5EDBB0-B6AF-43F6-AF2D-C4858AF9322D}"/>
            </a:ext>
          </a:extLst>
        </xdr:cNvPr>
        <xdr:cNvSpPr>
          <a:spLocks noChangeAspect="1" noChangeArrowheads="1"/>
        </xdr:cNvSpPr>
      </xdr:nvSpPr>
      <xdr:spPr bwMode="auto">
        <a:xfrm>
          <a:off x="1888435" y="4447761"/>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0"/>
    <xdr:sp macro="" textlink="">
      <xdr:nvSpPr>
        <xdr:cNvPr id="641" name="AutoShape 74" descr="+">
          <a:extLst>
            <a:ext uri="{FF2B5EF4-FFF2-40B4-BE49-F238E27FC236}">
              <a16:creationId xmlns:a16="http://schemas.microsoft.com/office/drawing/2014/main" id="{A19218FD-773E-4735-80E8-9F6A72B6A9CE}"/>
            </a:ext>
          </a:extLst>
        </xdr:cNvPr>
        <xdr:cNvSpPr>
          <a:spLocks noChangeAspect="1" noChangeArrowheads="1"/>
        </xdr:cNvSpPr>
      </xdr:nvSpPr>
      <xdr:spPr bwMode="auto">
        <a:xfrm>
          <a:off x="1888435" y="4447761"/>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2"/>
    <xdr:sp macro="" textlink="">
      <xdr:nvSpPr>
        <xdr:cNvPr id="642" name="AutoShape 75" descr="+">
          <a:extLst>
            <a:ext uri="{FF2B5EF4-FFF2-40B4-BE49-F238E27FC236}">
              <a16:creationId xmlns:a16="http://schemas.microsoft.com/office/drawing/2014/main" id="{8E8993C5-5114-407E-8D8A-70512A05A7D8}"/>
            </a:ext>
          </a:extLst>
        </xdr:cNvPr>
        <xdr:cNvSpPr>
          <a:spLocks noChangeAspect="1" noChangeArrowheads="1"/>
        </xdr:cNvSpPr>
      </xdr:nvSpPr>
      <xdr:spPr bwMode="auto">
        <a:xfrm>
          <a:off x="1888435" y="4447761"/>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09"/>
    <xdr:sp macro="" textlink="">
      <xdr:nvSpPr>
        <xdr:cNvPr id="643" name="AutoShape 76" descr="+">
          <a:extLst>
            <a:ext uri="{FF2B5EF4-FFF2-40B4-BE49-F238E27FC236}">
              <a16:creationId xmlns:a16="http://schemas.microsoft.com/office/drawing/2014/main" id="{0DDFDFC5-5D09-4ECF-824B-8676ECF83BA5}"/>
            </a:ext>
          </a:extLst>
        </xdr:cNvPr>
        <xdr:cNvSpPr>
          <a:spLocks noChangeAspect="1" noChangeArrowheads="1"/>
        </xdr:cNvSpPr>
      </xdr:nvSpPr>
      <xdr:spPr bwMode="auto">
        <a:xfrm>
          <a:off x="1888435" y="4447761"/>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1"/>
    <xdr:sp macro="" textlink="">
      <xdr:nvSpPr>
        <xdr:cNvPr id="644" name="AutoShape 77" descr="+">
          <a:extLst>
            <a:ext uri="{FF2B5EF4-FFF2-40B4-BE49-F238E27FC236}">
              <a16:creationId xmlns:a16="http://schemas.microsoft.com/office/drawing/2014/main" id="{31553AA4-2004-45E6-B569-9C1F6B810277}"/>
            </a:ext>
          </a:extLst>
        </xdr:cNvPr>
        <xdr:cNvSpPr>
          <a:spLocks noChangeAspect="1" noChangeArrowheads="1"/>
        </xdr:cNvSpPr>
      </xdr:nvSpPr>
      <xdr:spPr bwMode="auto">
        <a:xfrm>
          <a:off x="1888435" y="4447761"/>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09"/>
    <xdr:sp macro="" textlink="">
      <xdr:nvSpPr>
        <xdr:cNvPr id="645" name="AutoShape 78" descr="+">
          <a:extLst>
            <a:ext uri="{FF2B5EF4-FFF2-40B4-BE49-F238E27FC236}">
              <a16:creationId xmlns:a16="http://schemas.microsoft.com/office/drawing/2014/main" id="{30264CBD-2E65-4BF9-8753-7228D6D87DB7}"/>
            </a:ext>
          </a:extLst>
        </xdr:cNvPr>
        <xdr:cNvSpPr>
          <a:spLocks noChangeAspect="1" noChangeArrowheads="1"/>
        </xdr:cNvSpPr>
      </xdr:nvSpPr>
      <xdr:spPr bwMode="auto">
        <a:xfrm>
          <a:off x="1888435" y="4447761"/>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66689"/>
    <xdr:sp macro="" textlink="">
      <xdr:nvSpPr>
        <xdr:cNvPr id="646" name="AutoShape 79" descr="+">
          <a:extLst>
            <a:ext uri="{FF2B5EF4-FFF2-40B4-BE49-F238E27FC236}">
              <a16:creationId xmlns:a16="http://schemas.microsoft.com/office/drawing/2014/main" id="{E6C73EF4-2C38-43D2-AD4C-6975E431B6B4}"/>
            </a:ext>
          </a:extLst>
        </xdr:cNvPr>
        <xdr:cNvSpPr>
          <a:spLocks noChangeAspect="1" noChangeArrowheads="1"/>
        </xdr:cNvSpPr>
      </xdr:nvSpPr>
      <xdr:spPr bwMode="auto">
        <a:xfrm>
          <a:off x="1888435" y="4447761"/>
          <a:ext cx="304800" cy="1666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66688"/>
    <xdr:sp macro="" textlink="">
      <xdr:nvSpPr>
        <xdr:cNvPr id="647" name="AutoShape 80" descr="+">
          <a:extLst>
            <a:ext uri="{FF2B5EF4-FFF2-40B4-BE49-F238E27FC236}">
              <a16:creationId xmlns:a16="http://schemas.microsoft.com/office/drawing/2014/main" id="{81EAFCE6-6860-475E-B0F4-EB24400ED8ED}"/>
            </a:ext>
          </a:extLst>
        </xdr:cNvPr>
        <xdr:cNvSpPr>
          <a:spLocks noChangeAspect="1" noChangeArrowheads="1"/>
        </xdr:cNvSpPr>
      </xdr:nvSpPr>
      <xdr:spPr bwMode="auto">
        <a:xfrm>
          <a:off x="1888435" y="4447761"/>
          <a:ext cx="304800" cy="1666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81655"/>
    <xdr:sp macro="" textlink="">
      <xdr:nvSpPr>
        <xdr:cNvPr id="648" name="AutoShape 81" descr="+">
          <a:extLst>
            <a:ext uri="{FF2B5EF4-FFF2-40B4-BE49-F238E27FC236}">
              <a16:creationId xmlns:a16="http://schemas.microsoft.com/office/drawing/2014/main" id="{EE6BAAFF-EF71-41C5-BE52-D5CC100A6302}"/>
            </a:ext>
          </a:extLst>
        </xdr:cNvPr>
        <xdr:cNvSpPr>
          <a:spLocks noChangeAspect="1" noChangeArrowheads="1"/>
        </xdr:cNvSpPr>
      </xdr:nvSpPr>
      <xdr:spPr bwMode="auto">
        <a:xfrm>
          <a:off x="1888435" y="4447761"/>
          <a:ext cx="304800" cy="18165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66688"/>
    <xdr:sp macro="" textlink="">
      <xdr:nvSpPr>
        <xdr:cNvPr id="649" name="AutoShape 82" descr="+">
          <a:extLst>
            <a:ext uri="{FF2B5EF4-FFF2-40B4-BE49-F238E27FC236}">
              <a16:creationId xmlns:a16="http://schemas.microsoft.com/office/drawing/2014/main" id="{00326285-FA8B-4CD8-8292-451B92E7375E}"/>
            </a:ext>
          </a:extLst>
        </xdr:cNvPr>
        <xdr:cNvSpPr>
          <a:spLocks noChangeAspect="1" noChangeArrowheads="1"/>
        </xdr:cNvSpPr>
      </xdr:nvSpPr>
      <xdr:spPr bwMode="auto">
        <a:xfrm>
          <a:off x="1888435" y="4447761"/>
          <a:ext cx="304800" cy="1666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05471"/>
    <xdr:sp macro="" textlink="">
      <xdr:nvSpPr>
        <xdr:cNvPr id="650" name="AutoShape 83" descr="+">
          <a:extLst>
            <a:ext uri="{FF2B5EF4-FFF2-40B4-BE49-F238E27FC236}">
              <a16:creationId xmlns:a16="http://schemas.microsoft.com/office/drawing/2014/main" id="{06A85EEC-9ED8-42F5-B225-9093848BF47B}"/>
            </a:ext>
          </a:extLst>
        </xdr:cNvPr>
        <xdr:cNvSpPr>
          <a:spLocks noChangeAspect="1" noChangeArrowheads="1"/>
        </xdr:cNvSpPr>
      </xdr:nvSpPr>
      <xdr:spPr bwMode="auto">
        <a:xfrm>
          <a:off x="1888435" y="4447761"/>
          <a:ext cx="304800" cy="2054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05469"/>
    <xdr:sp macro="" textlink="">
      <xdr:nvSpPr>
        <xdr:cNvPr id="651" name="AutoShape 84" descr="+">
          <a:extLst>
            <a:ext uri="{FF2B5EF4-FFF2-40B4-BE49-F238E27FC236}">
              <a16:creationId xmlns:a16="http://schemas.microsoft.com/office/drawing/2014/main" id="{E83B131B-BD9B-40EB-AD1C-C6EB88D17A5C}"/>
            </a:ext>
          </a:extLst>
        </xdr:cNvPr>
        <xdr:cNvSpPr>
          <a:spLocks noChangeAspect="1" noChangeArrowheads="1"/>
        </xdr:cNvSpPr>
      </xdr:nvSpPr>
      <xdr:spPr bwMode="auto">
        <a:xfrm>
          <a:off x="1888435" y="4447761"/>
          <a:ext cx="304800" cy="20546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05468"/>
    <xdr:sp macro="" textlink="">
      <xdr:nvSpPr>
        <xdr:cNvPr id="652" name="AutoShape 85" descr="+">
          <a:extLst>
            <a:ext uri="{FF2B5EF4-FFF2-40B4-BE49-F238E27FC236}">
              <a16:creationId xmlns:a16="http://schemas.microsoft.com/office/drawing/2014/main" id="{590AD43C-2113-4559-949E-788AB475B76A}"/>
            </a:ext>
          </a:extLst>
        </xdr:cNvPr>
        <xdr:cNvSpPr>
          <a:spLocks noChangeAspect="1" noChangeArrowheads="1"/>
        </xdr:cNvSpPr>
      </xdr:nvSpPr>
      <xdr:spPr bwMode="auto">
        <a:xfrm>
          <a:off x="1888435" y="4447761"/>
          <a:ext cx="304800" cy="20546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66688"/>
    <xdr:sp macro="" textlink="">
      <xdr:nvSpPr>
        <xdr:cNvPr id="653" name="AutoShape 86" descr="+">
          <a:extLst>
            <a:ext uri="{FF2B5EF4-FFF2-40B4-BE49-F238E27FC236}">
              <a16:creationId xmlns:a16="http://schemas.microsoft.com/office/drawing/2014/main" id="{2E1A2E50-0EC2-4D82-8A09-29DA387FF661}"/>
            </a:ext>
          </a:extLst>
        </xdr:cNvPr>
        <xdr:cNvSpPr>
          <a:spLocks noChangeAspect="1" noChangeArrowheads="1"/>
        </xdr:cNvSpPr>
      </xdr:nvSpPr>
      <xdr:spPr bwMode="auto">
        <a:xfrm>
          <a:off x="1888435" y="4447761"/>
          <a:ext cx="304800" cy="1666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05469"/>
    <xdr:sp macro="" textlink="">
      <xdr:nvSpPr>
        <xdr:cNvPr id="654" name="AutoShape 87" descr="+">
          <a:extLst>
            <a:ext uri="{FF2B5EF4-FFF2-40B4-BE49-F238E27FC236}">
              <a16:creationId xmlns:a16="http://schemas.microsoft.com/office/drawing/2014/main" id="{10C5669F-9E9E-4A9B-A3B3-7D6C8145DCCA}"/>
            </a:ext>
          </a:extLst>
        </xdr:cNvPr>
        <xdr:cNvSpPr>
          <a:spLocks noChangeAspect="1" noChangeArrowheads="1"/>
        </xdr:cNvSpPr>
      </xdr:nvSpPr>
      <xdr:spPr bwMode="auto">
        <a:xfrm>
          <a:off x="1888435" y="4447761"/>
          <a:ext cx="304800" cy="20546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05469"/>
    <xdr:sp macro="" textlink="">
      <xdr:nvSpPr>
        <xdr:cNvPr id="655" name="AutoShape 88" descr="+">
          <a:extLst>
            <a:ext uri="{FF2B5EF4-FFF2-40B4-BE49-F238E27FC236}">
              <a16:creationId xmlns:a16="http://schemas.microsoft.com/office/drawing/2014/main" id="{AD51A60A-EC9B-4A05-991D-286948256BDD}"/>
            </a:ext>
          </a:extLst>
        </xdr:cNvPr>
        <xdr:cNvSpPr>
          <a:spLocks noChangeAspect="1" noChangeArrowheads="1"/>
        </xdr:cNvSpPr>
      </xdr:nvSpPr>
      <xdr:spPr bwMode="auto">
        <a:xfrm>
          <a:off x="1888435" y="4447761"/>
          <a:ext cx="304800" cy="20546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05470"/>
    <xdr:sp macro="" textlink="">
      <xdr:nvSpPr>
        <xdr:cNvPr id="656" name="AutoShape 89" descr="+">
          <a:extLst>
            <a:ext uri="{FF2B5EF4-FFF2-40B4-BE49-F238E27FC236}">
              <a16:creationId xmlns:a16="http://schemas.microsoft.com/office/drawing/2014/main" id="{61BDC94E-5175-4A2A-803C-8CA597334467}"/>
            </a:ext>
          </a:extLst>
        </xdr:cNvPr>
        <xdr:cNvSpPr>
          <a:spLocks noChangeAspect="1" noChangeArrowheads="1"/>
        </xdr:cNvSpPr>
      </xdr:nvSpPr>
      <xdr:spPr bwMode="auto">
        <a:xfrm>
          <a:off x="1888435" y="4447761"/>
          <a:ext cx="304800" cy="2054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05467"/>
    <xdr:sp macro="" textlink="">
      <xdr:nvSpPr>
        <xdr:cNvPr id="657" name="AutoShape 90" descr="+">
          <a:extLst>
            <a:ext uri="{FF2B5EF4-FFF2-40B4-BE49-F238E27FC236}">
              <a16:creationId xmlns:a16="http://schemas.microsoft.com/office/drawing/2014/main" id="{991ECE4E-3134-40A7-8562-F5E48606D067}"/>
            </a:ext>
          </a:extLst>
        </xdr:cNvPr>
        <xdr:cNvSpPr>
          <a:spLocks noChangeAspect="1" noChangeArrowheads="1"/>
        </xdr:cNvSpPr>
      </xdr:nvSpPr>
      <xdr:spPr bwMode="auto">
        <a:xfrm>
          <a:off x="1888435" y="4447761"/>
          <a:ext cx="304800" cy="20546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6629"/>
    <xdr:sp macro="" textlink="">
      <xdr:nvSpPr>
        <xdr:cNvPr id="658" name="AutoShape 91" descr="+">
          <a:extLst>
            <a:ext uri="{FF2B5EF4-FFF2-40B4-BE49-F238E27FC236}">
              <a16:creationId xmlns:a16="http://schemas.microsoft.com/office/drawing/2014/main" id="{A746469D-497A-4E3B-A404-F2EC3A0F5B2B}"/>
            </a:ext>
          </a:extLst>
        </xdr:cNvPr>
        <xdr:cNvSpPr>
          <a:spLocks noChangeAspect="1" noChangeArrowheads="1"/>
        </xdr:cNvSpPr>
      </xdr:nvSpPr>
      <xdr:spPr bwMode="auto">
        <a:xfrm>
          <a:off x="1888435" y="4447761"/>
          <a:ext cx="304800" cy="3066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71450"/>
    <xdr:sp macro="" textlink="">
      <xdr:nvSpPr>
        <xdr:cNvPr id="659" name="AutoShape 92" descr="+">
          <a:extLst>
            <a:ext uri="{FF2B5EF4-FFF2-40B4-BE49-F238E27FC236}">
              <a16:creationId xmlns:a16="http://schemas.microsoft.com/office/drawing/2014/main" id="{026675FE-4590-4FBC-B3B2-00ADDC0352B9}"/>
            </a:ext>
          </a:extLst>
        </xdr:cNvPr>
        <xdr:cNvSpPr>
          <a:spLocks noChangeAspect="1" noChangeArrowheads="1"/>
        </xdr:cNvSpPr>
      </xdr:nvSpPr>
      <xdr:spPr bwMode="auto">
        <a:xfrm>
          <a:off x="1888435" y="4447761"/>
          <a:ext cx="304800" cy="171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05470"/>
    <xdr:sp macro="" textlink="">
      <xdr:nvSpPr>
        <xdr:cNvPr id="660" name="AutoShape 93" descr="+">
          <a:extLst>
            <a:ext uri="{FF2B5EF4-FFF2-40B4-BE49-F238E27FC236}">
              <a16:creationId xmlns:a16="http://schemas.microsoft.com/office/drawing/2014/main" id="{3527AA4A-2A2C-45BB-8218-2D646B3B2326}"/>
            </a:ext>
          </a:extLst>
        </xdr:cNvPr>
        <xdr:cNvSpPr>
          <a:spLocks noChangeAspect="1" noChangeArrowheads="1"/>
        </xdr:cNvSpPr>
      </xdr:nvSpPr>
      <xdr:spPr bwMode="auto">
        <a:xfrm>
          <a:off x="1888435" y="4447761"/>
          <a:ext cx="304800" cy="2054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05470"/>
    <xdr:sp macro="" textlink="">
      <xdr:nvSpPr>
        <xdr:cNvPr id="661" name="AutoShape 94" descr="+">
          <a:extLst>
            <a:ext uri="{FF2B5EF4-FFF2-40B4-BE49-F238E27FC236}">
              <a16:creationId xmlns:a16="http://schemas.microsoft.com/office/drawing/2014/main" id="{A7AC674E-0B8A-470A-8430-6FA9886BA3DD}"/>
            </a:ext>
          </a:extLst>
        </xdr:cNvPr>
        <xdr:cNvSpPr>
          <a:spLocks noChangeAspect="1" noChangeArrowheads="1"/>
        </xdr:cNvSpPr>
      </xdr:nvSpPr>
      <xdr:spPr bwMode="auto">
        <a:xfrm>
          <a:off x="1888435" y="4447761"/>
          <a:ext cx="304800" cy="2054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00708"/>
    <xdr:sp macro="" textlink="">
      <xdr:nvSpPr>
        <xdr:cNvPr id="662" name="AutoShape 95" descr="+">
          <a:extLst>
            <a:ext uri="{FF2B5EF4-FFF2-40B4-BE49-F238E27FC236}">
              <a16:creationId xmlns:a16="http://schemas.microsoft.com/office/drawing/2014/main" id="{5362B434-11E9-44B2-82B0-507D77B867FD}"/>
            </a:ext>
          </a:extLst>
        </xdr:cNvPr>
        <xdr:cNvSpPr>
          <a:spLocks noChangeAspect="1" noChangeArrowheads="1"/>
        </xdr:cNvSpPr>
      </xdr:nvSpPr>
      <xdr:spPr bwMode="auto">
        <a:xfrm>
          <a:off x="1888435" y="4447761"/>
          <a:ext cx="304800" cy="20070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71730"/>
    <xdr:sp macro="" textlink="">
      <xdr:nvSpPr>
        <xdr:cNvPr id="663" name="AutoShape 96" descr="+">
          <a:extLst>
            <a:ext uri="{FF2B5EF4-FFF2-40B4-BE49-F238E27FC236}">
              <a16:creationId xmlns:a16="http://schemas.microsoft.com/office/drawing/2014/main" id="{17A581A0-BDE5-456E-ABD2-08F6ED2656A2}"/>
            </a:ext>
          </a:extLst>
        </xdr:cNvPr>
        <xdr:cNvSpPr>
          <a:spLocks noChangeAspect="1" noChangeArrowheads="1"/>
        </xdr:cNvSpPr>
      </xdr:nvSpPr>
      <xdr:spPr bwMode="auto">
        <a:xfrm>
          <a:off x="1888435" y="4447761"/>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71731"/>
    <xdr:sp macro="" textlink="">
      <xdr:nvSpPr>
        <xdr:cNvPr id="664" name="AutoShape 97" descr="+">
          <a:extLst>
            <a:ext uri="{FF2B5EF4-FFF2-40B4-BE49-F238E27FC236}">
              <a16:creationId xmlns:a16="http://schemas.microsoft.com/office/drawing/2014/main" id="{E42DC7B5-B09D-4E69-92AB-AB33D92729FB}"/>
            </a:ext>
          </a:extLst>
        </xdr:cNvPr>
        <xdr:cNvSpPr>
          <a:spLocks noChangeAspect="1" noChangeArrowheads="1"/>
        </xdr:cNvSpPr>
      </xdr:nvSpPr>
      <xdr:spPr bwMode="auto">
        <a:xfrm>
          <a:off x="1888435" y="4447761"/>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76492"/>
    <xdr:sp macro="" textlink="">
      <xdr:nvSpPr>
        <xdr:cNvPr id="665" name="AutoShape 98" descr="+">
          <a:extLst>
            <a:ext uri="{FF2B5EF4-FFF2-40B4-BE49-F238E27FC236}">
              <a16:creationId xmlns:a16="http://schemas.microsoft.com/office/drawing/2014/main" id="{CC1B6199-E6ED-4394-8607-CB76C7D9C310}"/>
            </a:ext>
          </a:extLst>
        </xdr:cNvPr>
        <xdr:cNvSpPr>
          <a:spLocks noChangeAspect="1" noChangeArrowheads="1"/>
        </xdr:cNvSpPr>
      </xdr:nvSpPr>
      <xdr:spPr bwMode="auto">
        <a:xfrm>
          <a:off x="1888435" y="4447761"/>
          <a:ext cx="304800" cy="1764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3"/>
    <xdr:sp macro="" textlink="">
      <xdr:nvSpPr>
        <xdr:cNvPr id="666" name="AutoShape 99" descr="+">
          <a:extLst>
            <a:ext uri="{FF2B5EF4-FFF2-40B4-BE49-F238E27FC236}">
              <a16:creationId xmlns:a16="http://schemas.microsoft.com/office/drawing/2014/main" id="{F0C1363F-BBF5-422D-A8DA-06E180F2C550}"/>
            </a:ext>
          </a:extLst>
        </xdr:cNvPr>
        <xdr:cNvSpPr>
          <a:spLocks noChangeAspect="1" noChangeArrowheads="1"/>
        </xdr:cNvSpPr>
      </xdr:nvSpPr>
      <xdr:spPr bwMode="auto">
        <a:xfrm>
          <a:off x="1888435" y="4447761"/>
          <a:ext cx="304800" cy="2105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81936"/>
    <xdr:sp macro="" textlink="">
      <xdr:nvSpPr>
        <xdr:cNvPr id="667" name="AutoShape 100" descr="+">
          <a:extLst>
            <a:ext uri="{FF2B5EF4-FFF2-40B4-BE49-F238E27FC236}">
              <a16:creationId xmlns:a16="http://schemas.microsoft.com/office/drawing/2014/main" id="{18BCB892-5F40-48DC-A199-BB47A5810B8C}"/>
            </a:ext>
          </a:extLst>
        </xdr:cNvPr>
        <xdr:cNvSpPr>
          <a:spLocks noChangeAspect="1" noChangeArrowheads="1"/>
        </xdr:cNvSpPr>
      </xdr:nvSpPr>
      <xdr:spPr bwMode="auto">
        <a:xfrm>
          <a:off x="1888435" y="4447761"/>
          <a:ext cx="304800" cy="18193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1"/>
    <xdr:sp macro="" textlink="">
      <xdr:nvSpPr>
        <xdr:cNvPr id="668" name="AutoShape 101" descr="+">
          <a:extLst>
            <a:ext uri="{FF2B5EF4-FFF2-40B4-BE49-F238E27FC236}">
              <a16:creationId xmlns:a16="http://schemas.microsoft.com/office/drawing/2014/main" id="{F9A6B529-5A7F-43BB-B9D1-725BCED93E00}"/>
            </a:ext>
          </a:extLst>
        </xdr:cNvPr>
        <xdr:cNvSpPr>
          <a:spLocks noChangeAspect="1" noChangeArrowheads="1"/>
        </xdr:cNvSpPr>
      </xdr:nvSpPr>
      <xdr:spPr bwMode="auto">
        <a:xfrm>
          <a:off x="1888435" y="4447761"/>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09"/>
    <xdr:sp macro="" textlink="">
      <xdr:nvSpPr>
        <xdr:cNvPr id="669" name="AutoShape 102" descr="+">
          <a:extLst>
            <a:ext uri="{FF2B5EF4-FFF2-40B4-BE49-F238E27FC236}">
              <a16:creationId xmlns:a16="http://schemas.microsoft.com/office/drawing/2014/main" id="{652E25F4-7BCE-45BF-8826-E15BC54ABE7C}"/>
            </a:ext>
          </a:extLst>
        </xdr:cNvPr>
        <xdr:cNvSpPr>
          <a:spLocks noChangeAspect="1" noChangeArrowheads="1"/>
        </xdr:cNvSpPr>
      </xdr:nvSpPr>
      <xdr:spPr bwMode="auto">
        <a:xfrm>
          <a:off x="1888435" y="4447761"/>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3"/>
    <xdr:sp macro="" textlink="">
      <xdr:nvSpPr>
        <xdr:cNvPr id="670" name="AutoShape 103" descr="+">
          <a:extLst>
            <a:ext uri="{FF2B5EF4-FFF2-40B4-BE49-F238E27FC236}">
              <a16:creationId xmlns:a16="http://schemas.microsoft.com/office/drawing/2014/main" id="{2F7F2928-EC41-4E80-80DF-D9AF91EA63C7}"/>
            </a:ext>
          </a:extLst>
        </xdr:cNvPr>
        <xdr:cNvSpPr>
          <a:spLocks noChangeAspect="1" noChangeArrowheads="1"/>
        </xdr:cNvSpPr>
      </xdr:nvSpPr>
      <xdr:spPr bwMode="auto">
        <a:xfrm>
          <a:off x="1888435" y="4447761"/>
          <a:ext cx="304800" cy="2105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09"/>
    <xdr:sp macro="" textlink="">
      <xdr:nvSpPr>
        <xdr:cNvPr id="671" name="AutoShape 104" descr="+">
          <a:extLst>
            <a:ext uri="{FF2B5EF4-FFF2-40B4-BE49-F238E27FC236}">
              <a16:creationId xmlns:a16="http://schemas.microsoft.com/office/drawing/2014/main" id="{26188E84-B277-484C-9E69-AED8CB38FC9D}"/>
            </a:ext>
          </a:extLst>
        </xdr:cNvPr>
        <xdr:cNvSpPr>
          <a:spLocks noChangeAspect="1" noChangeArrowheads="1"/>
        </xdr:cNvSpPr>
      </xdr:nvSpPr>
      <xdr:spPr bwMode="auto">
        <a:xfrm>
          <a:off x="1888435" y="4447761"/>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72133"/>
    <xdr:sp macro="" textlink="">
      <xdr:nvSpPr>
        <xdr:cNvPr id="672" name="AutoShape 105" descr="+">
          <a:extLst>
            <a:ext uri="{FF2B5EF4-FFF2-40B4-BE49-F238E27FC236}">
              <a16:creationId xmlns:a16="http://schemas.microsoft.com/office/drawing/2014/main" id="{7642E38C-C0ED-493A-9900-3D9965B80505}"/>
            </a:ext>
          </a:extLst>
        </xdr:cNvPr>
        <xdr:cNvSpPr>
          <a:spLocks noChangeAspect="1" noChangeArrowheads="1"/>
        </xdr:cNvSpPr>
      </xdr:nvSpPr>
      <xdr:spPr bwMode="auto">
        <a:xfrm>
          <a:off x="1888435" y="4447761"/>
          <a:ext cx="304800" cy="17213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00705"/>
    <xdr:sp macro="" textlink="">
      <xdr:nvSpPr>
        <xdr:cNvPr id="673" name="AutoShape 106" descr="+">
          <a:extLst>
            <a:ext uri="{FF2B5EF4-FFF2-40B4-BE49-F238E27FC236}">
              <a16:creationId xmlns:a16="http://schemas.microsoft.com/office/drawing/2014/main" id="{CAEA7FCA-842E-4EFB-95BE-53E63BA5D670}"/>
            </a:ext>
          </a:extLst>
        </xdr:cNvPr>
        <xdr:cNvSpPr>
          <a:spLocks noChangeAspect="1" noChangeArrowheads="1"/>
        </xdr:cNvSpPr>
      </xdr:nvSpPr>
      <xdr:spPr bwMode="auto">
        <a:xfrm>
          <a:off x="1888435" y="4447761"/>
          <a:ext cx="304800" cy="20070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04110"/>
    <xdr:sp macro="" textlink="">
      <xdr:nvSpPr>
        <xdr:cNvPr id="674" name="AutoShape 107" descr="+">
          <a:extLst>
            <a:ext uri="{FF2B5EF4-FFF2-40B4-BE49-F238E27FC236}">
              <a16:creationId xmlns:a16="http://schemas.microsoft.com/office/drawing/2014/main" id="{CBFB2D48-217E-453A-80EB-73858D4DC81D}"/>
            </a:ext>
          </a:extLst>
        </xdr:cNvPr>
        <xdr:cNvSpPr>
          <a:spLocks noChangeAspect="1" noChangeArrowheads="1"/>
        </xdr:cNvSpPr>
      </xdr:nvSpPr>
      <xdr:spPr bwMode="auto">
        <a:xfrm>
          <a:off x="1888435" y="4447761"/>
          <a:ext cx="304800" cy="2041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71730"/>
    <xdr:sp macro="" textlink="">
      <xdr:nvSpPr>
        <xdr:cNvPr id="675" name="AutoShape 108" descr="+">
          <a:extLst>
            <a:ext uri="{FF2B5EF4-FFF2-40B4-BE49-F238E27FC236}">
              <a16:creationId xmlns:a16="http://schemas.microsoft.com/office/drawing/2014/main" id="{236405E6-E567-4651-8835-7CC3C8A09218}"/>
            </a:ext>
          </a:extLst>
        </xdr:cNvPr>
        <xdr:cNvSpPr>
          <a:spLocks noChangeAspect="1" noChangeArrowheads="1"/>
        </xdr:cNvSpPr>
      </xdr:nvSpPr>
      <xdr:spPr bwMode="auto">
        <a:xfrm>
          <a:off x="1888435" y="4447761"/>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81938"/>
    <xdr:sp macro="" textlink="">
      <xdr:nvSpPr>
        <xdr:cNvPr id="676" name="AutoShape 109" descr="+">
          <a:extLst>
            <a:ext uri="{FF2B5EF4-FFF2-40B4-BE49-F238E27FC236}">
              <a16:creationId xmlns:a16="http://schemas.microsoft.com/office/drawing/2014/main" id="{767FF66C-A87B-4D66-B824-B67024A1CBCF}"/>
            </a:ext>
          </a:extLst>
        </xdr:cNvPr>
        <xdr:cNvSpPr>
          <a:spLocks noChangeAspect="1" noChangeArrowheads="1"/>
        </xdr:cNvSpPr>
      </xdr:nvSpPr>
      <xdr:spPr bwMode="auto">
        <a:xfrm>
          <a:off x="1888435" y="4447761"/>
          <a:ext cx="304800" cy="1819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71730"/>
    <xdr:sp macro="" textlink="">
      <xdr:nvSpPr>
        <xdr:cNvPr id="677" name="AutoShape 110" descr="+">
          <a:extLst>
            <a:ext uri="{FF2B5EF4-FFF2-40B4-BE49-F238E27FC236}">
              <a16:creationId xmlns:a16="http://schemas.microsoft.com/office/drawing/2014/main" id="{86930FAD-E418-4CB7-AA4C-1A8981E29555}"/>
            </a:ext>
          </a:extLst>
        </xdr:cNvPr>
        <xdr:cNvSpPr>
          <a:spLocks noChangeAspect="1" noChangeArrowheads="1"/>
        </xdr:cNvSpPr>
      </xdr:nvSpPr>
      <xdr:spPr bwMode="auto">
        <a:xfrm>
          <a:off x="1888435" y="4447761"/>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1"/>
    <xdr:sp macro="" textlink="">
      <xdr:nvSpPr>
        <xdr:cNvPr id="678" name="AutoShape 111" descr="+">
          <a:extLst>
            <a:ext uri="{FF2B5EF4-FFF2-40B4-BE49-F238E27FC236}">
              <a16:creationId xmlns:a16="http://schemas.microsoft.com/office/drawing/2014/main" id="{2F759F2E-0F2F-425C-9E81-3AA26D51CC23}"/>
            </a:ext>
          </a:extLst>
        </xdr:cNvPr>
        <xdr:cNvSpPr>
          <a:spLocks noChangeAspect="1" noChangeArrowheads="1"/>
        </xdr:cNvSpPr>
      </xdr:nvSpPr>
      <xdr:spPr bwMode="auto">
        <a:xfrm>
          <a:off x="1888435" y="4447761"/>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2"/>
    <xdr:sp macro="" textlink="">
      <xdr:nvSpPr>
        <xdr:cNvPr id="679" name="AutoShape 112" descr="+">
          <a:extLst>
            <a:ext uri="{FF2B5EF4-FFF2-40B4-BE49-F238E27FC236}">
              <a16:creationId xmlns:a16="http://schemas.microsoft.com/office/drawing/2014/main" id="{9AB9B6FF-2A62-4A44-A95A-33C90B8FC4C5}"/>
            </a:ext>
          </a:extLst>
        </xdr:cNvPr>
        <xdr:cNvSpPr>
          <a:spLocks noChangeAspect="1" noChangeArrowheads="1"/>
        </xdr:cNvSpPr>
      </xdr:nvSpPr>
      <xdr:spPr bwMode="auto">
        <a:xfrm>
          <a:off x="1888435" y="4447761"/>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91458"/>
    <xdr:sp macro="" textlink="">
      <xdr:nvSpPr>
        <xdr:cNvPr id="680" name="AutoShape 113" descr="+">
          <a:extLst>
            <a:ext uri="{FF2B5EF4-FFF2-40B4-BE49-F238E27FC236}">
              <a16:creationId xmlns:a16="http://schemas.microsoft.com/office/drawing/2014/main" id="{BCE8BD5D-A5FC-49EF-8988-697A436B3212}"/>
            </a:ext>
          </a:extLst>
        </xdr:cNvPr>
        <xdr:cNvSpPr>
          <a:spLocks noChangeAspect="1" noChangeArrowheads="1"/>
        </xdr:cNvSpPr>
      </xdr:nvSpPr>
      <xdr:spPr bwMode="auto">
        <a:xfrm>
          <a:off x="1888435" y="4447761"/>
          <a:ext cx="304800" cy="19145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1"/>
    <xdr:sp macro="" textlink="">
      <xdr:nvSpPr>
        <xdr:cNvPr id="681" name="AutoShape 114" descr="+">
          <a:extLst>
            <a:ext uri="{FF2B5EF4-FFF2-40B4-BE49-F238E27FC236}">
              <a16:creationId xmlns:a16="http://schemas.microsoft.com/office/drawing/2014/main" id="{550CCD9C-BE63-4B73-B5BE-40D9A3542C94}"/>
            </a:ext>
          </a:extLst>
        </xdr:cNvPr>
        <xdr:cNvSpPr>
          <a:spLocks noChangeAspect="1" noChangeArrowheads="1"/>
        </xdr:cNvSpPr>
      </xdr:nvSpPr>
      <xdr:spPr bwMode="auto">
        <a:xfrm>
          <a:off x="1888435" y="4447761"/>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2"/>
    <xdr:sp macro="" textlink="">
      <xdr:nvSpPr>
        <xdr:cNvPr id="682" name="AutoShape 115" descr="+">
          <a:extLst>
            <a:ext uri="{FF2B5EF4-FFF2-40B4-BE49-F238E27FC236}">
              <a16:creationId xmlns:a16="http://schemas.microsoft.com/office/drawing/2014/main" id="{9C40095D-ACDE-4D94-877C-2DCDAF88BC49}"/>
            </a:ext>
          </a:extLst>
        </xdr:cNvPr>
        <xdr:cNvSpPr>
          <a:spLocks noChangeAspect="1" noChangeArrowheads="1"/>
        </xdr:cNvSpPr>
      </xdr:nvSpPr>
      <xdr:spPr bwMode="auto">
        <a:xfrm>
          <a:off x="1888435" y="4447761"/>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2"/>
    <xdr:sp macro="" textlink="">
      <xdr:nvSpPr>
        <xdr:cNvPr id="683" name="AutoShape 116" descr="+">
          <a:extLst>
            <a:ext uri="{FF2B5EF4-FFF2-40B4-BE49-F238E27FC236}">
              <a16:creationId xmlns:a16="http://schemas.microsoft.com/office/drawing/2014/main" id="{E5DF879C-FAE0-4CC7-BF66-4E0922332B4B}"/>
            </a:ext>
          </a:extLst>
        </xdr:cNvPr>
        <xdr:cNvSpPr>
          <a:spLocks noChangeAspect="1" noChangeArrowheads="1"/>
        </xdr:cNvSpPr>
      </xdr:nvSpPr>
      <xdr:spPr bwMode="auto">
        <a:xfrm>
          <a:off x="1888435" y="4447761"/>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1"/>
    <xdr:sp macro="" textlink="">
      <xdr:nvSpPr>
        <xdr:cNvPr id="684" name="AutoShape 117" descr="+">
          <a:extLst>
            <a:ext uri="{FF2B5EF4-FFF2-40B4-BE49-F238E27FC236}">
              <a16:creationId xmlns:a16="http://schemas.microsoft.com/office/drawing/2014/main" id="{157A298E-6378-429A-977E-64F00279527C}"/>
            </a:ext>
          </a:extLst>
        </xdr:cNvPr>
        <xdr:cNvSpPr>
          <a:spLocks noChangeAspect="1" noChangeArrowheads="1"/>
        </xdr:cNvSpPr>
      </xdr:nvSpPr>
      <xdr:spPr bwMode="auto">
        <a:xfrm>
          <a:off x="1888435" y="4447761"/>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1"/>
    <xdr:sp macro="" textlink="">
      <xdr:nvSpPr>
        <xdr:cNvPr id="685" name="AutoShape 118" descr="+">
          <a:extLst>
            <a:ext uri="{FF2B5EF4-FFF2-40B4-BE49-F238E27FC236}">
              <a16:creationId xmlns:a16="http://schemas.microsoft.com/office/drawing/2014/main" id="{A532DD31-D03E-4C0D-8050-AE9000D323A5}"/>
            </a:ext>
          </a:extLst>
        </xdr:cNvPr>
        <xdr:cNvSpPr>
          <a:spLocks noChangeAspect="1" noChangeArrowheads="1"/>
        </xdr:cNvSpPr>
      </xdr:nvSpPr>
      <xdr:spPr bwMode="auto">
        <a:xfrm>
          <a:off x="1888435" y="4447761"/>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09"/>
    <xdr:sp macro="" textlink="">
      <xdr:nvSpPr>
        <xdr:cNvPr id="686" name="AutoShape 119" descr="+">
          <a:extLst>
            <a:ext uri="{FF2B5EF4-FFF2-40B4-BE49-F238E27FC236}">
              <a16:creationId xmlns:a16="http://schemas.microsoft.com/office/drawing/2014/main" id="{3EDEF8E2-DB69-4798-B2F5-0A362AC76ACA}"/>
            </a:ext>
          </a:extLst>
        </xdr:cNvPr>
        <xdr:cNvSpPr>
          <a:spLocks noChangeAspect="1" noChangeArrowheads="1"/>
        </xdr:cNvSpPr>
      </xdr:nvSpPr>
      <xdr:spPr bwMode="auto">
        <a:xfrm>
          <a:off x="1888435" y="4447761"/>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71731"/>
    <xdr:sp macro="" textlink="">
      <xdr:nvSpPr>
        <xdr:cNvPr id="687" name="AutoShape 120" descr="+">
          <a:extLst>
            <a:ext uri="{FF2B5EF4-FFF2-40B4-BE49-F238E27FC236}">
              <a16:creationId xmlns:a16="http://schemas.microsoft.com/office/drawing/2014/main" id="{E8F69F0B-24C9-4B46-8896-5A86B8B50B40}"/>
            </a:ext>
          </a:extLst>
        </xdr:cNvPr>
        <xdr:cNvSpPr>
          <a:spLocks noChangeAspect="1" noChangeArrowheads="1"/>
        </xdr:cNvSpPr>
      </xdr:nvSpPr>
      <xdr:spPr bwMode="auto">
        <a:xfrm>
          <a:off x="1888435" y="4447761"/>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71730"/>
    <xdr:sp macro="" textlink="">
      <xdr:nvSpPr>
        <xdr:cNvPr id="688" name="AutoShape 121" descr="+">
          <a:extLst>
            <a:ext uri="{FF2B5EF4-FFF2-40B4-BE49-F238E27FC236}">
              <a16:creationId xmlns:a16="http://schemas.microsoft.com/office/drawing/2014/main" id="{056150AA-D127-4D5E-8179-C248A1738327}"/>
            </a:ext>
          </a:extLst>
        </xdr:cNvPr>
        <xdr:cNvSpPr>
          <a:spLocks noChangeAspect="1" noChangeArrowheads="1"/>
        </xdr:cNvSpPr>
      </xdr:nvSpPr>
      <xdr:spPr bwMode="auto">
        <a:xfrm>
          <a:off x="1888435" y="4447761"/>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81938"/>
    <xdr:sp macro="" textlink="">
      <xdr:nvSpPr>
        <xdr:cNvPr id="689" name="AutoShape 122" descr="+">
          <a:extLst>
            <a:ext uri="{FF2B5EF4-FFF2-40B4-BE49-F238E27FC236}">
              <a16:creationId xmlns:a16="http://schemas.microsoft.com/office/drawing/2014/main" id="{B1423A0E-AC02-43E6-A6AD-03FA135AB4EC}"/>
            </a:ext>
          </a:extLst>
        </xdr:cNvPr>
        <xdr:cNvSpPr>
          <a:spLocks noChangeAspect="1" noChangeArrowheads="1"/>
        </xdr:cNvSpPr>
      </xdr:nvSpPr>
      <xdr:spPr bwMode="auto">
        <a:xfrm>
          <a:off x="1888435" y="4447761"/>
          <a:ext cx="304800" cy="1819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76492"/>
    <xdr:sp macro="" textlink="">
      <xdr:nvSpPr>
        <xdr:cNvPr id="690" name="AutoShape 123" descr="+">
          <a:extLst>
            <a:ext uri="{FF2B5EF4-FFF2-40B4-BE49-F238E27FC236}">
              <a16:creationId xmlns:a16="http://schemas.microsoft.com/office/drawing/2014/main" id="{24B2A645-3904-43B8-B7BC-FBB3144B0D3D}"/>
            </a:ext>
          </a:extLst>
        </xdr:cNvPr>
        <xdr:cNvSpPr>
          <a:spLocks noChangeAspect="1" noChangeArrowheads="1"/>
        </xdr:cNvSpPr>
      </xdr:nvSpPr>
      <xdr:spPr bwMode="auto">
        <a:xfrm>
          <a:off x="1888435" y="4447761"/>
          <a:ext cx="304800" cy="1764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2"/>
    <xdr:sp macro="" textlink="">
      <xdr:nvSpPr>
        <xdr:cNvPr id="691" name="AutoShape 124" descr="+">
          <a:extLst>
            <a:ext uri="{FF2B5EF4-FFF2-40B4-BE49-F238E27FC236}">
              <a16:creationId xmlns:a16="http://schemas.microsoft.com/office/drawing/2014/main" id="{DF12106C-9FA9-4C87-9F74-5CB99C29D746}"/>
            </a:ext>
          </a:extLst>
        </xdr:cNvPr>
        <xdr:cNvSpPr>
          <a:spLocks noChangeAspect="1" noChangeArrowheads="1"/>
        </xdr:cNvSpPr>
      </xdr:nvSpPr>
      <xdr:spPr bwMode="auto">
        <a:xfrm>
          <a:off x="1888435" y="4447761"/>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0"/>
    <xdr:sp macro="" textlink="">
      <xdr:nvSpPr>
        <xdr:cNvPr id="692" name="AutoShape 125" descr="+">
          <a:extLst>
            <a:ext uri="{FF2B5EF4-FFF2-40B4-BE49-F238E27FC236}">
              <a16:creationId xmlns:a16="http://schemas.microsoft.com/office/drawing/2014/main" id="{18A6D339-E55C-4B60-9C72-4D3D18769C98}"/>
            </a:ext>
          </a:extLst>
        </xdr:cNvPr>
        <xdr:cNvSpPr>
          <a:spLocks noChangeAspect="1" noChangeArrowheads="1"/>
        </xdr:cNvSpPr>
      </xdr:nvSpPr>
      <xdr:spPr bwMode="auto">
        <a:xfrm>
          <a:off x="1888435" y="4447761"/>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2"/>
    <xdr:sp macro="" textlink="">
      <xdr:nvSpPr>
        <xdr:cNvPr id="693" name="AutoShape 126" descr="+">
          <a:extLst>
            <a:ext uri="{FF2B5EF4-FFF2-40B4-BE49-F238E27FC236}">
              <a16:creationId xmlns:a16="http://schemas.microsoft.com/office/drawing/2014/main" id="{E8FA965E-30B1-4FE0-9556-6400E8C04654}"/>
            </a:ext>
          </a:extLst>
        </xdr:cNvPr>
        <xdr:cNvSpPr>
          <a:spLocks noChangeAspect="1" noChangeArrowheads="1"/>
        </xdr:cNvSpPr>
      </xdr:nvSpPr>
      <xdr:spPr bwMode="auto">
        <a:xfrm>
          <a:off x="1888435" y="4447761"/>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03088"/>
    <xdr:sp macro="" textlink="">
      <xdr:nvSpPr>
        <xdr:cNvPr id="694" name="AutoShape 127" descr="+">
          <a:extLst>
            <a:ext uri="{FF2B5EF4-FFF2-40B4-BE49-F238E27FC236}">
              <a16:creationId xmlns:a16="http://schemas.microsoft.com/office/drawing/2014/main" id="{BC7728C3-561D-416E-891A-1B34CDEC0530}"/>
            </a:ext>
          </a:extLst>
        </xdr:cNvPr>
        <xdr:cNvSpPr>
          <a:spLocks noChangeAspect="1" noChangeArrowheads="1"/>
        </xdr:cNvSpPr>
      </xdr:nvSpPr>
      <xdr:spPr bwMode="auto">
        <a:xfrm>
          <a:off x="1888435" y="4447761"/>
          <a:ext cx="304800" cy="2030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03089"/>
    <xdr:sp macro="" textlink="">
      <xdr:nvSpPr>
        <xdr:cNvPr id="695" name="AutoShape 128" descr="+">
          <a:extLst>
            <a:ext uri="{FF2B5EF4-FFF2-40B4-BE49-F238E27FC236}">
              <a16:creationId xmlns:a16="http://schemas.microsoft.com/office/drawing/2014/main" id="{4AD49220-9E6C-4CC6-8ECC-3540E50D2AB8}"/>
            </a:ext>
          </a:extLst>
        </xdr:cNvPr>
        <xdr:cNvSpPr>
          <a:spLocks noChangeAspect="1" noChangeArrowheads="1"/>
        </xdr:cNvSpPr>
      </xdr:nvSpPr>
      <xdr:spPr bwMode="auto">
        <a:xfrm>
          <a:off x="1888435" y="4447761"/>
          <a:ext cx="304800" cy="203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09"/>
    <xdr:sp macro="" textlink="">
      <xdr:nvSpPr>
        <xdr:cNvPr id="696" name="AutoShape 129" descr="+">
          <a:extLst>
            <a:ext uri="{FF2B5EF4-FFF2-40B4-BE49-F238E27FC236}">
              <a16:creationId xmlns:a16="http://schemas.microsoft.com/office/drawing/2014/main" id="{520746DF-4889-478F-B27F-2FF7CEEF4C57}"/>
            </a:ext>
          </a:extLst>
        </xdr:cNvPr>
        <xdr:cNvSpPr>
          <a:spLocks noChangeAspect="1" noChangeArrowheads="1"/>
        </xdr:cNvSpPr>
      </xdr:nvSpPr>
      <xdr:spPr bwMode="auto">
        <a:xfrm>
          <a:off x="1888435" y="4447761"/>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71730"/>
    <xdr:sp macro="" textlink="">
      <xdr:nvSpPr>
        <xdr:cNvPr id="697" name="AutoShape 130" descr="+">
          <a:extLst>
            <a:ext uri="{FF2B5EF4-FFF2-40B4-BE49-F238E27FC236}">
              <a16:creationId xmlns:a16="http://schemas.microsoft.com/office/drawing/2014/main" id="{F6E7D8D9-F624-4DAE-83B8-71550DBC6A30}"/>
            </a:ext>
          </a:extLst>
        </xdr:cNvPr>
        <xdr:cNvSpPr>
          <a:spLocks noChangeAspect="1" noChangeArrowheads="1"/>
        </xdr:cNvSpPr>
      </xdr:nvSpPr>
      <xdr:spPr bwMode="auto">
        <a:xfrm>
          <a:off x="1888435" y="4447761"/>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71731"/>
    <xdr:sp macro="" textlink="">
      <xdr:nvSpPr>
        <xdr:cNvPr id="698" name="AutoShape 131" descr="+">
          <a:extLst>
            <a:ext uri="{FF2B5EF4-FFF2-40B4-BE49-F238E27FC236}">
              <a16:creationId xmlns:a16="http://schemas.microsoft.com/office/drawing/2014/main" id="{B1667887-50C1-4274-86CA-E89EEA50AE1C}"/>
            </a:ext>
          </a:extLst>
        </xdr:cNvPr>
        <xdr:cNvSpPr>
          <a:spLocks noChangeAspect="1" noChangeArrowheads="1"/>
        </xdr:cNvSpPr>
      </xdr:nvSpPr>
      <xdr:spPr bwMode="auto">
        <a:xfrm>
          <a:off x="1888435" y="4447761"/>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1"/>
    <xdr:sp macro="" textlink="">
      <xdr:nvSpPr>
        <xdr:cNvPr id="699" name="AutoShape 132" descr="+">
          <a:extLst>
            <a:ext uri="{FF2B5EF4-FFF2-40B4-BE49-F238E27FC236}">
              <a16:creationId xmlns:a16="http://schemas.microsoft.com/office/drawing/2014/main" id="{305A0573-FEFE-4F2A-8384-F81A2FD998EB}"/>
            </a:ext>
          </a:extLst>
        </xdr:cNvPr>
        <xdr:cNvSpPr>
          <a:spLocks noChangeAspect="1" noChangeArrowheads="1"/>
        </xdr:cNvSpPr>
      </xdr:nvSpPr>
      <xdr:spPr bwMode="auto">
        <a:xfrm>
          <a:off x="1888435" y="4447761"/>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1"/>
    <xdr:sp macro="" textlink="">
      <xdr:nvSpPr>
        <xdr:cNvPr id="700" name="AutoShape 133" descr="+">
          <a:extLst>
            <a:ext uri="{FF2B5EF4-FFF2-40B4-BE49-F238E27FC236}">
              <a16:creationId xmlns:a16="http://schemas.microsoft.com/office/drawing/2014/main" id="{DD73B690-540D-4F9B-A43F-39BFE298B56C}"/>
            </a:ext>
          </a:extLst>
        </xdr:cNvPr>
        <xdr:cNvSpPr>
          <a:spLocks noChangeAspect="1" noChangeArrowheads="1"/>
        </xdr:cNvSpPr>
      </xdr:nvSpPr>
      <xdr:spPr bwMode="auto">
        <a:xfrm>
          <a:off x="1888435" y="4447761"/>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0"/>
    <xdr:sp macro="" textlink="">
      <xdr:nvSpPr>
        <xdr:cNvPr id="701" name="AutoShape 134" descr="+">
          <a:extLst>
            <a:ext uri="{FF2B5EF4-FFF2-40B4-BE49-F238E27FC236}">
              <a16:creationId xmlns:a16="http://schemas.microsoft.com/office/drawing/2014/main" id="{51BA1ABC-36D7-4716-A38A-E3A83E03E7ED}"/>
            </a:ext>
          </a:extLst>
        </xdr:cNvPr>
        <xdr:cNvSpPr>
          <a:spLocks noChangeAspect="1" noChangeArrowheads="1"/>
        </xdr:cNvSpPr>
      </xdr:nvSpPr>
      <xdr:spPr bwMode="auto">
        <a:xfrm>
          <a:off x="1888435" y="4447761"/>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1"/>
    <xdr:sp macro="" textlink="">
      <xdr:nvSpPr>
        <xdr:cNvPr id="702" name="AutoShape 135" descr="+">
          <a:extLst>
            <a:ext uri="{FF2B5EF4-FFF2-40B4-BE49-F238E27FC236}">
              <a16:creationId xmlns:a16="http://schemas.microsoft.com/office/drawing/2014/main" id="{262ABF61-9ABC-4B24-ADA6-EB4A48D6C326}"/>
            </a:ext>
          </a:extLst>
        </xdr:cNvPr>
        <xdr:cNvSpPr>
          <a:spLocks noChangeAspect="1" noChangeArrowheads="1"/>
        </xdr:cNvSpPr>
      </xdr:nvSpPr>
      <xdr:spPr bwMode="auto">
        <a:xfrm>
          <a:off x="1888435" y="4447761"/>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1"/>
    <xdr:sp macro="" textlink="">
      <xdr:nvSpPr>
        <xdr:cNvPr id="703" name="AutoShape 136" descr="+">
          <a:extLst>
            <a:ext uri="{FF2B5EF4-FFF2-40B4-BE49-F238E27FC236}">
              <a16:creationId xmlns:a16="http://schemas.microsoft.com/office/drawing/2014/main" id="{3AAC90BD-5158-419F-9147-1BD5714D0F78}"/>
            </a:ext>
          </a:extLst>
        </xdr:cNvPr>
        <xdr:cNvSpPr>
          <a:spLocks noChangeAspect="1" noChangeArrowheads="1"/>
        </xdr:cNvSpPr>
      </xdr:nvSpPr>
      <xdr:spPr bwMode="auto">
        <a:xfrm>
          <a:off x="1888435" y="4447761"/>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2"/>
    <xdr:sp macro="" textlink="">
      <xdr:nvSpPr>
        <xdr:cNvPr id="704" name="AutoShape 137" descr="+">
          <a:extLst>
            <a:ext uri="{FF2B5EF4-FFF2-40B4-BE49-F238E27FC236}">
              <a16:creationId xmlns:a16="http://schemas.microsoft.com/office/drawing/2014/main" id="{3B852CB5-D440-417C-B479-B267C7167B5A}"/>
            </a:ext>
          </a:extLst>
        </xdr:cNvPr>
        <xdr:cNvSpPr>
          <a:spLocks noChangeAspect="1" noChangeArrowheads="1"/>
        </xdr:cNvSpPr>
      </xdr:nvSpPr>
      <xdr:spPr bwMode="auto">
        <a:xfrm>
          <a:off x="1888435" y="4447761"/>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1"/>
    <xdr:sp macro="" textlink="">
      <xdr:nvSpPr>
        <xdr:cNvPr id="705" name="AutoShape 138" descr="+">
          <a:extLst>
            <a:ext uri="{FF2B5EF4-FFF2-40B4-BE49-F238E27FC236}">
              <a16:creationId xmlns:a16="http://schemas.microsoft.com/office/drawing/2014/main" id="{14C7BB99-9C10-40D2-B869-090D5A3EF47F}"/>
            </a:ext>
          </a:extLst>
        </xdr:cNvPr>
        <xdr:cNvSpPr>
          <a:spLocks noChangeAspect="1" noChangeArrowheads="1"/>
        </xdr:cNvSpPr>
      </xdr:nvSpPr>
      <xdr:spPr bwMode="auto">
        <a:xfrm>
          <a:off x="1888435" y="4447761"/>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09"/>
    <xdr:sp macro="" textlink="">
      <xdr:nvSpPr>
        <xdr:cNvPr id="706" name="AutoShape 139" descr="+">
          <a:extLst>
            <a:ext uri="{FF2B5EF4-FFF2-40B4-BE49-F238E27FC236}">
              <a16:creationId xmlns:a16="http://schemas.microsoft.com/office/drawing/2014/main" id="{54163309-3691-496F-8625-3ED41377984A}"/>
            </a:ext>
          </a:extLst>
        </xdr:cNvPr>
        <xdr:cNvSpPr>
          <a:spLocks noChangeAspect="1" noChangeArrowheads="1"/>
        </xdr:cNvSpPr>
      </xdr:nvSpPr>
      <xdr:spPr bwMode="auto">
        <a:xfrm>
          <a:off x="1888435" y="4447761"/>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71732"/>
    <xdr:sp macro="" textlink="">
      <xdr:nvSpPr>
        <xdr:cNvPr id="707" name="AutoShape 140" descr="+">
          <a:extLst>
            <a:ext uri="{FF2B5EF4-FFF2-40B4-BE49-F238E27FC236}">
              <a16:creationId xmlns:a16="http://schemas.microsoft.com/office/drawing/2014/main" id="{0A789C91-13B7-4166-9623-ABDCB38B0F05}"/>
            </a:ext>
          </a:extLst>
        </xdr:cNvPr>
        <xdr:cNvSpPr>
          <a:spLocks noChangeAspect="1" noChangeArrowheads="1"/>
        </xdr:cNvSpPr>
      </xdr:nvSpPr>
      <xdr:spPr bwMode="auto">
        <a:xfrm>
          <a:off x="1888435" y="4447761"/>
          <a:ext cx="304800" cy="17173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71730"/>
    <xdr:sp macro="" textlink="">
      <xdr:nvSpPr>
        <xdr:cNvPr id="708" name="AutoShape 141" descr="+">
          <a:extLst>
            <a:ext uri="{FF2B5EF4-FFF2-40B4-BE49-F238E27FC236}">
              <a16:creationId xmlns:a16="http://schemas.microsoft.com/office/drawing/2014/main" id="{94B4B578-8A78-4132-9BD8-3EF5BC3F7A44}"/>
            </a:ext>
          </a:extLst>
        </xdr:cNvPr>
        <xdr:cNvSpPr>
          <a:spLocks noChangeAspect="1" noChangeArrowheads="1"/>
        </xdr:cNvSpPr>
      </xdr:nvSpPr>
      <xdr:spPr bwMode="auto">
        <a:xfrm>
          <a:off x="1888435" y="4447761"/>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71731"/>
    <xdr:sp macro="" textlink="">
      <xdr:nvSpPr>
        <xdr:cNvPr id="709" name="AutoShape 142" descr="+">
          <a:extLst>
            <a:ext uri="{FF2B5EF4-FFF2-40B4-BE49-F238E27FC236}">
              <a16:creationId xmlns:a16="http://schemas.microsoft.com/office/drawing/2014/main" id="{E6A03382-E9F8-4B88-8D76-3FA2D782E493}"/>
            </a:ext>
          </a:extLst>
        </xdr:cNvPr>
        <xdr:cNvSpPr>
          <a:spLocks noChangeAspect="1" noChangeArrowheads="1"/>
        </xdr:cNvSpPr>
      </xdr:nvSpPr>
      <xdr:spPr bwMode="auto">
        <a:xfrm>
          <a:off x="1888435" y="4447761"/>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26915"/>
    <xdr:sp macro="" textlink="">
      <xdr:nvSpPr>
        <xdr:cNvPr id="710" name="AutoShape 143" descr="+">
          <a:extLst>
            <a:ext uri="{FF2B5EF4-FFF2-40B4-BE49-F238E27FC236}">
              <a16:creationId xmlns:a16="http://schemas.microsoft.com/office/drawing/2014/main" id="{6124344A-0CD1-4888-961B-6176F7E3AE14}"/>
            </a:ext>
          </a:extLst>
        </xdr:cNvPr>
        <xdr:cNvSpPr>
          <a:spLocks noChangeAspect="1" noChangeArrowheads="1"/>
        </xdr:cNvSpPr>
      </xdr:nvSpPr>
      <xdr:spPr bwMode="auto">
        <a:xfrm>
          <a:off x="1888435" y="4447761"/>
          <a:ext cx="304800" cy="3269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0"/>
    <xdr:sp macro="" textlink="">
      <xdr:nvSpPr>
        <xdr:cNvPr id="711" name="AutoShape 144" descr="+">
          <a:extLst>
            <a:ext uri="{FF2B5EF4-FFF2-40B4-BE49-F238E27FC236}">
              <a16:creationId xmlns:a16="http://schemas.microsoft.com/office/drawing/2014/main" id="{E3386357-6FD1-4479-9743-5CA2F3A3FFCA}"/>
            </a:ext>
          </a:extLst>
        </xdr:cNvPr>
        <xdr:cNvSpPr>
          <a:spLocks noChangeAspect="1" noChangeArrowheads="1"/>
        </xdr:cNvSpPr>
      </xdr:nvSpPr>
      <xdr:spPr bwMode="auto">
        <a:xfrm>
          <a:off x="1888435" y="4447761"/>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1"/>
    <xdr:sp macro="" textlink="">
      <xdr:nvSpPr>
        <xdr:cNvPr id="712" name="AutoShape 145" descr="+">
          <a:extLst>
            <a:ext uri="{FF2B5EF4-FFF2-40B4-BE49-F238E27FC236}">
              <a16:creationId xmlns:a16="http://schemas.microsoft.com/office/drawing/2014/main" id="{F298E916-62BC-4505-9447-0766ACD4BAC6}"/>
            </a:ext>
          </a:extLst>
        </xdr:cNvPr>
        <xdr:cNvSpPr>
          <a:spLocks noChangeAspect="1" noChangeArrowheads="1"/>
        </xdr:cNvSpPr>
      </xdr:nvSpPr>
      <xdr:spPr bwMode="auto">
        <a:xfrm>
          <a:off x="1888435" y="4447761"/>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1"/>
    <xdr:sp macro="" textlink="">
      <xdr:nvSpPr>
        <xdr:cNvPr id="713" name="AutoShape 146" descr="+">
          <a:extLst>
            <a:ext uri="{FF2B5EF4-FFF2-40B4-BE49-F238E27FC236}">
              <a16:creationId xmlns:a16="http://schemas.microsoft.com/office/drawing/2014/main" id="{263D7E40-C1C5-4209-8666-FF8F59E1EBD4}"/>
            </a:ext>
          </a:extLst>
        </xdr:cNvPr>
        <xdr:cNvSpPr>
          <a:spLocks noChangeAspect="1" noChangeArrowheads="1"/>
        </xdr:cNvSpPr>
      </xdr:nvSpPr>
      <xdr:spPr bwMode="auto">
        <a:xfrm>
          <a:off x="1888435" y="4447761"/>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71730"/>
    <xdr:sp macro="" textlink="">
      <xdr:nvSpPr>
        <xdr:cNvPr id="714" name="AutoShape 147" descr="+">
          <a:extLst>
            <a:ext uri="{FF2B5EF4-FFF2-40B4-BE49-F238E27FC236}">
              <a16:creationId xmlns:a16="http://schemas.microsoft.com/office/drawing/2014/main" id="{7CBA0640-1DCF-48A3-A21E-9DA5169C7DDC}"/>
            </a:ext>
          </a:extLst>
        </xdr:cNvPr>
        <xdr:cNvSpPr>
          <a:spLocks noChangeAspect="1" noChangeArrowheads="1"/>
        </xdr:cNvSpPr>
      </xdr:nvSpPr>
      <xdr:spPr bwMode="auto">
        <a:xfrm>
          <a:off x="1888435" y="4447761"/>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81936"/>
    <xdr:sp macro="" textlink="">
      <xdr:nvSpPr>
        <xdr:cNvPr id="715" name="AutoShape 148" descr="+">
          <a:extLst>
            <a:ext uri="{FF2B5EF4-FFF2-40B4-BE49-F238E27FC236}">
              <a16:creationId xmlns:a16="http://schemas.microsoft.com/office/drawing/2014/main" id="{4314236B-D21A-4DF1-BD38-733403B54811}"/>
            </a:ext>
          </a:extLst>
        </xdr:cNvPr>
        <xdr:cNvSpPr>
          <a:spLocks noChangeAspect="1" noChangeArrowheads="1"/>
        </xdr:cNvSpPr>
      </xdr:nvSpPr>
      <xdr:spPr bwMode="auto">
        <a:xfrm>
          <a:off x="1888435" y="4447761"/>
          <a:ext cx="304800" cy="18193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91460"/>
    <xdr:sp macro="" textlink="">
      <xdr:nvSpPr>
        <xdr:cNvPr id="716" name="AutoShape 149" descr="+">
          <a:extLst>
            <a:ext uri="{FF2B5EF4-FFF2-40B4-BE49-F238E27FC236}">
              <a16:creationId xmlns:a16="http://schemas.microsoft.com/office/drawing/2014/main" id="{436FD943-D6C2-4765-9531-33DDE392D9DF}"/>
            </a:ext>
          </a:extLst>
        </xdr:cNvPr>
        <xdr:cNvSpPr>
          <a:spLocks noChangeAspect="1" noChangeArrowheads="1"/>
        </xdr:cNvSpPr>
      </xdr:nvSpPr>
      <xdr:spPr bwMode="auto">
        <a:xfrm>
          <a:off x="1888435" y="4447761"/>
          <a:ext cx="304800" cy="19146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0"/>
    <xdr:sp macro="" textlink="">
      <xdr:nvSpPr>
        <xdr:cNvPr id="717" name="AutoShape 150" descr="+">
          <a:extLst>
            <a:ext uri="{FF2B5EF4-FFF2-40B4-BE49-F238E27FC236}">
              <a16:creationId xmlns:a16="http://schemas.microsoft.com/office/drawing/2014/main" id="{823667CE-2807-405B-B707-EFA65EAFA7BB}"/>
            </a:ext>
          </a:extLst>
        </xdr:cNvPr>
        <xdr:cNvSpPr>
          <a:spLocks noChangeAspect="1" noChangeArrowheads="1"/>
        </xdr:cNvSpPr>
      </xdr:nvSpPr>
      <xdr:spPr bwMode="auto">
        <a:xfrm>
          <a:off x="1888435" y="4447761"/>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2"/>
    <xdr:sp macro="" textlink="">
      <xdr:nvSpPr>
        <xdr:cNvPr id="718" name="AutoShape 151" descr="+">
          <a:extLst>
            <a:ext uri="{FF2B5EF4-FFF2-40B4-BE49-F238E27FC236}">
              <a16:creationId xmlns:a16="http://schemas.microsoft.com/office/drawing/2014/main" id="{5057AC56-1218-40E4-B535-C028E2B1D7FD}"/>
            </a:ext>
          </a:extLst>
        </xdr:cNvPr>
        <xdr:cNvSpPr>
          <a:spLocks noChangeAspect="1" noChangeArrowheads="1"/>
        </xdr:cNvSpPr>
      </xdr:nvSpPr>
      <xdr:spPr bwMode="auto">
        <a:xfrm>
          <a:off x="1888435" y="4447761"/>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2"/>
    <xdr:sp macro="" textlink="">
      <xdr:nvSpPr>
        <xdr:cNvPr id="719" name="AutoShape 152" descr="+">
          <a:extLst>
            <a:ext uri="{FF2B5EF4-FFF2-40B4-BE49-F238E27FC236}">
              <a16:creationId xmlns:a16="http://schemas.microsoft.com/office/drawing/2014/main" id="{AB5E3EC5-842A-44C0-B9A8-D3D80F837B3A}"/>
            </a:ext>
          </a:extLst>
        </xdr:cNvPr>
        <xdr:cNvSpPr>
          <a:spLocks noChangeAspect="1" noChangeArrowheads="1"/>
        </xdr:cNvSpPr>
      </xdr:nvSpPr>
      <xdr:spPr bwMode="auto">
        <a:xfrm>
          <a:off x="1888435" y="4447761"/>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381"/>
    <xdr:sp macro="" textlink="">
      <xdr:nvSpPr>
        <xdr:cNvPr id="720" name="AutoShape 153" descr="+">
          <a:extLst>
            <a:ext uri="{FF2B5EF4-FFF2-40B4-BE49-F238E27FC236}">
              <a16:creationId xmlns:a16="http://schemas.microsoft.com/office/drawing/2014/main" id="{F4B3ABDA-E077-47EA-B494-DBFBA474DE13}"/>
            </a:ext>
          </a:extLst>
        </xdr:cNvPr>
        <xdr:cNvSpPr>
          <a:spLocks noChangeAspect="1" noChangeArrowheads="1"/>
        </xdr:cNvSpPr>
      </xdr:nvSpPr>
      <xdr:spPr bwMode="auto">
        <a:xfrm>
          <a:off x="1888435" y="4447761"/>
          <a:ext cx="304800" cy="3043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72410"/>
    <xdr:sp macro="" textlink="">
      <xdr:nvSpPr>
        <xdr:cNvPr id="721" name="AutoShape 154" descr="+">
          <a:extLst>
            <a:ext uri="{FF2B5EF4-FFF2-40B4-BE49-F238E27FC236}">
              <a16:creationId xmlns:a16="http://schemas.microsoft.com/office/drawing/2014/main" id="{FE8CEE9C-AB48-4A0D-8370-4B6209EB0F33}"/>
            </a:ext>
          </a:extLst>
        </xdr:cNvPr>
        <xdr:cNvSpPr>
          <a:spLocks noChangeAspect="1" noChangeArrowheads="1"/>
        </xdr:cNvSpPr>
      </xdr:nvSpPr>
      <xdr:spPr bwMode="auto">
        <a:xfrm>
          <a:off x="1888435" y="4447761"/>
          <a:ext cx="304800" cy="1724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0"/>
    <xdr:sp macro="" textlink="">
      <xdr:nvSpPr>
        <xdr:cNvPr id="722" name="AutoShape 155" descr="+">
          <a:extLst>
            <a:ext uri="{FF2B5EF4-FFF2-40B4-BE49-F238E27FC236}">
              <a16:creationId xmlns:a16="http://schemas.microsoft.com/office/drawing/2014/main" id="{92480431-E5AF-46D3-A15E-D7D4D7CE01AC}"/>
            </a:ext>
          </a:extLst>
        </xdr:cNvPr>
        <xdr:cNvSpPr>
          <a:spLocks noChangeAspect="1" noChangeArrowheads="1"/>
        </xdr:cNvSpPr>
      </xdr:nvSpPr>
      <xdr:spPr bwMode="auto">
        <a:xfrm>
          <a:off x="1888435" y="4447761"/>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04110"/>
    <xdr:sp macro="" textlink="">
      <xdr:nvSpPr>
        <xdr:cNvPr id="723" name="AutoShape 156" descr="+">
          <a:extLst>
            <a:ext uri="{FF2B5EF4-FFF2-40B4-BE49-F238E27FC236}">
              <a16:creationId xmlns:a16="http://schemas.microsoft.com/office/drawing/2014/main" id="{BA357462-F3C8-4CF2-A86D-9C4F4E6D586F}"/>
            </a:ext>
          </a:extLst>
        </xdr:cNvPr>
        <xdr:cNvSpPr>
          <a:spLocks noChangeAspect="1" noChangeArrowheads="1"/>
        </xdr:cNvSpPr>
      </xdr:nvSpPr>
      <xdr:spPr bwMode="auto">
        <a:xfrm>
          <a:off x="1888435" y="4447761"/>
          <a:ext cx="304800" cy="2041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04112"/>
    <xdr:sp macro="" textlink="">
      <xdr:nvSpPr>
        <xdr:cNvPr id="724" name="AutoShape 157" descr="+">
          <a:extLst>
            <a:ext uri="{FF2B5EF4-FFF2-40B4-BE49-F238E27FC236}">
              <a16:creationId xmlns:a16="http://schemas.microsoft.com/office/drawing/2014/main" id="{D2E1C798-6112-4551-B234-C4FF83BB8986}"/>
            </a:ext>
          </a:extLst>
        </xdr:cNvPr>
        <xdr:cNvSpPr>
          <a:spLocks noChangeAspect="1" noChangeArrowheads="1"/>
        </xdr:cNvSpPr>
      </xdr:nvSpPr>
      <xdr:spPr bwMode="auto">
        <a:xfrm>
          <a:off x="1888435" y="4447761"/>
          <a:ext cx="304800" cy="2041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71730"/>
    <xdr:sp macro="" textlink="">
      <xdr:nvSpPr>
        <xdr:cNvPr id="725" name="AutoShape 158" descr="+">
          <a:extLst>
            <a:ext uri="{FF2B5EF4-FFF2-40B4-BE49-F238E27FC236}">
              <a16:creationId xmlns:a16="http://schemas.microsoft.com/office/drawing/2014/main" id="{8A26714B-88E9-4D7F-9C96-105F27066946}"/>
            </a:ext>
          </a:extLst>
        </xdr:cNvPr>
        <xdr:cNvSpPr>
          <a:spLocks noChangeAspect="1" noChangeArrowheads="1"/>
        </xdr:cNvSpPr>
      </xdr:nvSpPr>
      <xdr:spPr bwMode="auto">
        <a:xfrm>
          <a:off x="1888435" y="4447761"/>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71731"/>
    <xdr:sp macro="" textlink="">
      <xdr:nvSpPr>
        <xdr:cNvPr id="726" name="AutoShape 159" descr="+">
          <a:extLst>
            <a:ext uri="{FF2B5EF4-FFF2-40B4-BE49-F238E27FC236}">
              <a16:creationId xmlns:a16="http://schemas.microsoft.com/office/drawing/2014/main" id="{D2B4C2D4-9650-435B-A8BD-C2909A4FFAC3}"/>
            </a:ext>
          </a:extLst>
        </xdr:cNvPr>
        <xdr:cNvSpPr>
          <a:spLocks noChangeAspect="1" noChangeArrowheads="1"/>
        </xdr:cNvSpPr>
      </xdr:nvSpPr>
      <xdr:spPr bwMode="auto">
        <a:xfrm>
          <a:off x="1888435" y="4447761"/>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86696"/>
    <xdr:sp macro="" textlink="">
      <xdr:nvSpPr>
        <xdr:cNvPr id="727" name="AutoShape 160" descr="+">
          <a:extLst>
            <a:ext uri="{FF2B5EF4-FFF2-40B4-BE49-F238E27FC236}">
              <a16:creationId xmlns:a16="http://schemas.microsoft.com/office/drawing/2014/main" id="{70D85780-5B7F-4168-810B-8FAEE502E0E5}"/>
            </a:ext>
          </a:extLst>
        </xdr:cNvPr>
        <xdr:cNvSpPr>
          <a:spLocks noChangeAspect="1" noChangeArrowheads="1"/>
        </xdr:cNvSpPr>
      </xdr:nvSpPr>
      <xdr:spPr bwMode="auto">
        <a:xfrm>
          <a:off x="1888435" y="4447761"/>
          <a:ext cx="304800" cy="18669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71732"/>
    <xdr:sp macro="" textlink="">
      <xdr:nvSpPr>
        <xdr:cNvPr id="728" name="AutoShape 161" descr="+">
          <a:extLst>
            <a:ext uri="{FF2B5EF4-FFF2-40B4-BE49-F238E27FC236}">
              <a16:creationId xmlns:a16="http://schemas.microsoft.com/office/drawing/2014/main" id="{5AFCC8DE-95D6-49C8-8302-8E031777712A}"/>
            </a:ext>
          </a:extLst>
        </xdr:cNvPr>
        <xdr:cNvSpPr>
          <a:spLocks noChangeAspect="1" noChangeArrowheads="1"/>
        </xdr:cNvSpPr>
      </xdr:nvSpPr>
      <xdr:spPr bwMode="auto">
        <a:xfrm>
          <a:off x="1888435" y="4447761"/>
          <a:ext cx="304800" cy="17173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0"/>
    <xdr:sp macro="" textlink="">
      <xdr:nvSpPr>
        <xdr:cNvPr id="729" name="AutoShape 162" descr="+">
          <a:extLst>
            <a:ext uri="{FF2B5EF4-FFF2-40B4-BE49-F238E27FC236}">
              <a16:creationId xmlns:a16="http://schemas.microsoft.com/office/drawing/2014/main" id="{523BEA9F-8A8F-434D-9B3C-0CB2E2A37990}"/>
            </a:ext>
          </a:extLst>
        </xdr:cNvPr>
        <xdr:cNvSpPr>
          <a:spLocks noChangeAspect="1" noChangeArrowheads="1"/>
        </xdr:cNvSpPr>
      </xdr:nvSpPr>
      <xdr:spPr bwMode="auto">
        <a:xfrm>
          <a:off x="1888435" y="4447761"/>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2"/>
    <xdr:sp macro="" textlink="">
      <xdr:nvSpPr>
        <xdr:cNvPr id="730" name="AutoShape 163" descr="+">
          <a:extLst>
            <a:ext uri="{FF2B5EF4-FFF2-40B4-BE49-F238E27FC236}">
              <a16:creationId xmlns:a16="http://schemas.microsoft.com/office/drawing/2014/main" id="{25D6D85A-B8F9-430D-87EE-8EF50B1095AD}"/>
            </a:ext>
          </a:extLst>
        </xdr:cNvPr>
        <xdr:cNvSpPr>
          <a:spLocks noChangeAspect="1" noChangeArrowheads="1"/>
        </xdr:cNvSpPr>
      </xdr:nvSpPr>
      <xdr:spPr bwMode="auto">
        <a:xfrm>
          <a:off x="1888435" y="4447761"/>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91460"/>
    <xdr:sp macro="" textlink="">
      <xdr:nvSpPr>
        <xdr:cNvPr id="731" name="AutoShape 164" descr="+">
          <a:extLst>
            <a:ext uri="{FF2B5EF4-FFF2-40B4-BE49-F238E27FC236}">
              <a16:creationId xmlns:a16="http://schemas.microsoft.com/office/drawing/2014/main" id="{DE58CBC3-3590-44A9-AD41-622503420E14}"/>
            </a:ext>
          </a:extLst>
        </xdr:cNvPr>
        <xdr:cNvSpPr>
          <a:spLocks noChangeAspect="1" noChangeArrowheads="1"/>
        </xdr:cNvSpPr>
      </xdr:nvSpPr>
      <xdr:spPr bwMode="auto">
        <a:xfrm>
          <a:off x="1888435" y="4447761"/>
          <a:ext cx="304800" cy="19146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0"/>
    <xdr:sp macro="" textlink="">
      <xdr:nvSpPr>
        <xdr:cNvPr id="732" name="AutoShape 165" descr="+">
          <a:extLst>
            <a:ext uri="{FF2B5EF4-FFF2-40B4-BE49-F238E27FC236}">
              <a16:creationId xmlns:a16="http://schemas.microsoft.com/office/drawing/2014/main" id="{FB9F77ED-F974-43F9-85FF-80F995CF134C}"/>
            </a:ext>
          </a:extLst>
        </xdr:cNvPr>
        <xdr:cNvSpPr>
          <a:spLocks noChangeAspect="1" noChangeArrowheads="1"/>
        </xdr:cNvSpPr>
      </xdr:nvSpPr>
      <xdr:spPr bwMode="auto">
        <a:xfrm>
          <a:off x="1888435" y="4447761"/>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0"/>
    <xdr:sp macro="" textlink="">
      <xdr:nvSpPr>
        <xdr:cNvPr id="733" name="AutoShape 166" descr="+">
          <a:extLst>
            <a:ext uri="{FF2B5EF4-FFF2-40B4-BE49-F238E27FC236}">
              <a16:creationId xmlns:a16="http://schemas.microsoft.com/office/drawing/2014/main" id="{5EF7F9EA-5ADF-4713-96BB-F2F8A5D5570A}"/>
            </a:ext>
          </a:extLst>
        </xdr:cNvPr>
        <xdr:cNvSpPr>
          <a:spLocks noChangeAspect="1" noChangeArrowheads="1"/>
        </xdr:cNvSpPr>
      </xdr:nvSpPr>
      <xdr:spPr bwMode="auto">
        <a:xfrm>
          <a:off x="1888435" y="4447761"/>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3"/>
    <xdr:sp macro="" textlink="">
      <xdr:nvSpPr>
        <xdr:cNvPr id="734" name="AutoShape 167" descr="+">
          <a:extLst>
            <a:ext uri="{FF2B5EF4-FFF2-40B4-BE49-F238E27FC236}">
              <a16:creationId xmlns:a16="http://schemas.microsoft.com/office/drawing/2014/main" id="{C05B8DB0-7445-436A-8EE6-6244B6176706}"/>
            </a:ext>
          </a:extLst>
        </xdr:cNvPr>
        <xdr:cNvSpPr>
          <a:spLocks noChangeAspect="1" noChangeArrowheads="1"/>
        </xdr:cNvSpPr>
      </xdr:nvSpPr>
      <xdr:spPr bwMode="auto">
        <a:xfrm>
          <a:off x="1888435" y="4447761"/>
          <a:ext cx="304800" cy="2105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8470"/>
    <xdr:sp macro="" textlink="">
      <xdr:nvSpPr>
        <xdr:cNvPr id="735" name="AutoShape 168" descr="+">
          <a:extLst>
            <a:ext uri="{FF2B5EF4-FFF2-40B4-BE49-F238E27FC236}">
              <a16:creationId xmlns:a16="http://schemas.microsoft.com/office/drawing/2014/main" id="{794F3897-039C-411A-B33D-995FF4963BCF}"/>
            </a:ext>
          </a:extLst>
        </xdr:cNvPr>
        <xdr:cNvSpPr>
          <a:spLocks noChangeAspect="1" noChangeArrowheads="1"/>
        </xdr:cNvSpPr>
      </xdr:nvSpPr>
      <xdr:spPr bwMode="auto">
        <a:xfrm>
          <a:off x="1888435" y="4447761"/>
          <a:ext cx="304800" cy="3084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75533"/>
    <xdr:sp macro="" textlink="">
      <xdr:nvSpPr>
        <xdr:cNvPr id="736" name="AutoShape 169" descr="+">
          <a:extLst>
            <a:ext uri="{FF2B5EF4-FFF2-40B4-BE49-F238E27FC236}">
              <a16:creationId xmlns:a16="http://schemas.microsoft.com/office/drawing/2014/main" id="{C1B3FEC4-C608-4653-893F-4590399D9304}"/>
            </a:ext>
          </a:extLst>
        </xdr:cNvPr>
        <xdr:cNvSpPr>
          <a:spLocks noChangeAspect="1" noChangeArrowheads="1"/>
        </xdr:cNvSpPr>
      </xdr:nvSpPr>
      <xdr:spPr bwMode="auto">
        <a:xfrm>
          <a:off x="1888435" y="4447761"/>
          <a:ext cx="304800" cy="17553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04106"/>
    <xdr:sp macro="" textlink="">
      <xdr:nvSpPr>
        <xdr:cNvPr id="737" name="AutoShape 170" descr="+">
          <a:extLst>
            <a:ext uri="{FF2B5EF4-FFF2-40B4-BE49-F238E27FC236}">
              <a16:creationId xmlns:a16="http://schemas.microsoft.com/office/drawing/2014/main" id="{5B00D288-B6FA-4564-AD04-B039453A232A}"/>
            </a:ext>
          </a:extLst>
        </xdr:cNvPr>
        <xdr:cNvSpPr>
          <a:spLocks noChangeAspect="1" noChangeArrowheads="1"/>
        </xdr:cNvSpPr>
      </xdr:nvSpPr>
      <xdr:spPr bwMode="auto">
        <a:xfrm>
          <a:off x="1888435" y="4447761"/>
          <a:ext cx="304800" cy="20410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8468"/>
    <xdr:sp macro="" textlink="">
      <xdr:nvSpPr>
        <xdr:cNvPr id="738" name="AutoShape 171" descr="+">
          <a:extLst>
            <a:ext uri="{FF2B5EF4-FFF2-40B4-BE49-F238E27FC236}">
              <a16:creationId xmlns:a16="http://schemas.microsoft.com/office/drawing/2014/main" id="{22132AF6-E28E-47DF-ADF6-70AE8C20755F}"/>
            </a:ext>
          </a:extLst>
        </xdr:cNvPr>
        <xdr:cNvSpPr>
          <a:spLocks noChangeAspect="1" noChangeArrowheads="1"/>
        </xdr:cNvSpPr>
      </xdr:nvSpPr>
      <xdr:spPr bwMode="auto">
        <a:xfrm>
          <a:off x="1888435" y="4447761"/>
          <a:ext cx="304800" cy="30846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04108"/>
    <xdr:sp macro="" textlink="">
      <xdr:nvSpPr>
        <xdr:cNvPr id="739" name="AutoShape 172" descr="+">
          <a:extLst>
            <a:ext uri="{FF2B5EF4-FFF2-40B4-BE49-F238E27FC236}">
              <a16:creationId xmlns:a16="http://schemas.microsoft.com/office/drawing/2014/main" id="{97A5050A-8DEA-4355-A968-298D4B5B202C}"/>
            </a:ext>
          </a:extLst>
        </xdr:cNvPr>
        <xdr:cNvSpPr>
          <a:spLocks noChangeAspect="1" noChangeArrowheads="1"/>
        </xdr:cNvSpPr>
      </xdr:nvSpPr>
      <xdr:spPr bwMode="auto">
        <a:xfrm>
          <a:off x="1888435" y="4447761"/>
          <a:ext cx="304800" cy="20410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71730"/>
    <xdr:sp macro="" textlink="">
      <xdr:nvSpPr>
        <xdr:cNvPr id="740" name="AutoShape 173" descr="+">
          <a:extLst>
            <a:ext uri="{FF2B5EF4-FFF2-40B4-BE49-F238E27FC236}">
              <a16:creationId xmlns:a16="http://schemas.microsoft.com/office/drawing/2014/main" id="{5F61B26B-C97B-4BE7-9821-C843FBC62389}"/>
            </a:ext>
          </a:extLst>
        </xdr:cNvPr>
        <xdr:cNvSpPr>
          <a:spLocks noChangeAspect="1" noChangeArrowheads="1"/>
        </xdr:cNvSpPr>
      </xdr:nvSpPr>
      <xdr:spPr bwMode="auto">
        <a:xfrm>
          <a:off x="1888435" y="4447761"/>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73131"/>
    <xdr:sp macro="" textlink="">
      <xdr:nvSpPr>
        <xdr:cNvPr id="741" name="AutoShape 174" descr="+">
          <a:extLst>
            <a:ext uri="{FF2B5EF4-FFF2-40B4-BE49-F238E27FC236}">
              <a16:creationId xmlns:a16="http://schemas.microsoft.com/office/drawing/2014/main" id="{EF65D4D4-571B-46BD-96A8-6ADE97EA13C5}"/>
            </a:ext>
          </a:extLst>
        </xdr:cNvPr>
        <xdr:cNvSpPr>
          <a:spLocks noChangeAspect="1" noChangeArrowheads="1"/>
        </xdr:cNvSpPr>
      </xdr:nvSpPr>
      <xdr:spPr bwMode="auto">
        <a:xfrm>
          <a:off x="1888435" y="4447761"/>
          <a:ext cx="304800" cy="1731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71730"/>
    <xdr:sp macro="" textlink="">
      <xdr:nvSpPr>
        <xdr:cNvPr id="742" name="AutoShape 175" descr="+">
          <a:extLst>
            <a:ext uri="{FF2B5EF4-FFF2-40B4-BE49-F238E27FC236}">
              <a16:creationId xmlns:a16="http://schemas.microsoft.com/office/drawing/2014/main" id="{EF2A91D3-2FFE-4AF0-96E7-77081210E433}"/>
            </a:ext>
          </a:extLst>
        </xdr:cNvPr>
        <xdr:cNvSpPr>
          <a:spLocks noChangeAspect="1" noChangeArrowheads="1"/>
        </xdr:cNvSpPr>
      </xdr:nvSpPr>
      <xdr:spPr bwMode="auto">
        <a:xfrm>
          <a:off x="1888435" y="4447761"/>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09"/>
    <xdr:sp macro="" textlink="">
      <xdr:nvSpPr>
        <xdr:cNvPr id="743" name="AutoShape 176" descr="+">
          <a:extLst>
            <a:ext uri="{FF2B5EF4-FFF2-40B4-BE49-F238E27FC236}">
              <a16:creationId xmlns:a16="http://schemas.microsoft.com/office/drawing/2014/main" id="{D365F6C0-8D44-484A-B5BE-880B28BB1EE3}"/>
            </a:ext>
          </a:extLst>
        </xdr:cNvPr>
        <xdr:cNvSpPr>
          <a:spLocks noChangeAspect="1" noChangeArrowheads="1"/>
        </xdr:cNvSpPr>
      </xdr:nvSpPr>
      <xdr:spPr bwMode="auto">
        <a:xfrm>
          <a:off x="1888435" y="4447761"/>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2"/>
    <xdr:sp macro="" textlink="">
      <xdr:nvSpPr>
        <xdr:cNvPr id="744" name="AutoShape 177" descr="+">
          <a:extLst>
            <a:ext uri="{FF2B5EF4-FFF2-40B4-BE49-F238E27FC236}">
              <a16:creationId xmlns:a16="http://schemas.microsoft.com/office/drawing/2014/main" id="{EF60C22D-EC83-4C00-8D8E-B84FDD10AAC5}"/>
            </a:ext>
          </a:extLst>
        </xdr:cNvPr>
        <xdr:cNvSpPr>
          <a:spLocks noChangeAspect="1" noChangeArrowheads="1"/>
        </xdr:cNvSpPr>
      </xdr:nvSpPr>
      <xdr:spPr bwMode="auto">
        <a:xfrm>
          <a:off x="1888435" y="4447761"/>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2"/>
    <xdr:sp macro="" textlink="">
      <xdr:nvSpPr>
        <xdr:cNvPr id="745" name="AutoShape 178" descr="+">
          <a:extLst>
            <a:ext uri="{FF2B5EF4-FFF2-40B4-BE49-F238E27FC236}">
              <a16:creationId xmlns:a16="http://schemas.microsoft.com/office/drawing/2014/main" id="{85CB1963-83A0-47DE-9104-62C8C9DD58AF}"/>
            </a:ext>
          </a:extLst>
        </xdr:cNvPr>
        <xdr:cNvSpPr>
          <a:spLocks noChangeAspect="1" noChangeArrowheads="1"/>
        </xdr:cNvSpPr>
      </xdr:nvSpPr>
      <xdr:spPr bwMode="auto">
        <a:xfrm>
          <a:off x="1888435" y="4447761"/>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71730"/>
    <xdr:sp macro="" textlink="">
      <xdr:nvSpPr>
        <xdr:cNvPr id="746" name="AutoShape 179" descr="+">
          <a:extLst>
            <a:ext uri="{FF2B5EF4-FFF2-40B4-BE49-F238E27FC236}">
              <a16:creationId xmlns:a16="http://schemas.microsoft.com/office/drawing/2014/main" id="{DCCF5BDC-2CFD-4936-A9FB-D46A57623C55}"/>
            </a:ext>
          </a:extLst>
        </xdr:cNvPr>
        <xdr:cNvSpPr>
          <a:spLocks noChangeAspect="1" noChangeArrowheads="1"/>
        </xdr:cNvSpPr>
      </xdr:nvSpPr>
      <xdr:spPr bwMode="auto">
        <a:xfrm>
          <a:off x="1888435" y="4447761"/>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91462"/>
    <xdr:sp macro="" textlink="">
      <xdr:nvSpPr>
        <xdr:cNvPr id="747" name="AutoShape 180" descr="+">
          <a:extLst>
            <a:ext uri="{FF2B5EF4-FFF2-40B4-BE49-F238E27FC236}">
              <a16:creationId xmlns:a16="http://schemas.microsoft.com/office/drawing/2014/main" id="{259423BB-AC38-4C40-9455-F42D341A4ADE}"/>
            </a:ext>
          </a:extLst>
        </xdr:cNvPr>
        <xdr:cNvSpPr>
          <a:spLocks noChangeAspect="1" noChangeArrowheads="1"/>
        </xdr:cNvSpPr>
      </xdr:nvSpPr>
      <xdr:spPr bwMode="auto">
        <a:xfrm>
          <a:off x="1888435" y="4447761"/>
          <a:ext cx="304800" cy="19146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08"/>
    <xdr:sp macro="" textlink="">
      <xdr:nvSpPr>
        <xdr:cNvPr id="748" name="AutoShape 181" descr="+">
          <a:extLst>
            <a:ext uri="{FF2B5EF4-FFF2-40B4-BE49-F238E27FC236}">
              <a16:creationId xmlns:a16="http://schemas.microsoft.com/office/drawing/2014/main" id="{B1612489-857A-41AC-B2A5-FEF87240A1AC}"/>
            </a:ext>
          </a:extLst>
        </xdr:cNvPr>
        <xdr:cNvSpPr>
          <a:spLocks noChangeAspect="1" noChangeArrowheads="1"/>
        </xdr:cNvSpPr>
      </xdr:nvSpPr>
      <xdr:spPr bwMode="auto">
        <a:xfrm>
          <a:off x="1888435" y="4447761"/>
          <a:ext cx="304800" cy="21050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9501"/>
    <xdr:sp macro="" textlink="">
      <xdr:nvSpPr>
        <xdr:cNvPr id="749" name="AutoShape 182" descr="+">
          <a:extLst>
            <a:ext uri="{FF2B5EF4-FFF2-40B4-BE49-F238E27FC236}">
              <a16:creationId xmlns:a16="http://schemas.microsoft.com/office/drawing/2014/main" id="{FE8AFCD2-4C1F-40BB-AE67-31D373DCFD19}"/>
            </a:ext>
          </a:extLst>
        </xdr:cNvPr>
        <xdr:cNvSpPr>
          <a:spLocks noChangeAspect="1" noChangeArrowheads="1"/>
        </xdr:cNvSpPr>
      </xdr:nvSpPr>
      <xdr:spPr bwMode="auto">
        <a:xfrm>
          <a:off x="1888435" y="4447761"/>
          <a:ext cx="304800" cy="309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2"/>
    <xdr:sp macro="" textlink="">
      <xdr:nvSpPr>
        <xdr:cNvPr id="750" name="AutoShape 183" descr="+">
          <a:extLst>
            <a:ext uri="{FF2B5EF4-FFF2-40B4-BE49-F238E27FC236}">
              <a16:creationId xmlns:a16="http://schemas.microsoft.com/office/drawing/2014/main" id="{C0EF9D2D-C801-4484-9AA5-42FB6A17E8B4}"/>
            </a:ext>
          </a:extLst>
        </xdr:cNvPr>
        <xdr:cNvSpPr>
          <a:spLocks noChangeAspect="1" noChangeArrowheads="1"/>
        </xdr:cNvSpPr>
      </xdr:nvSpPr>
      <xdr:spPr bwMode="auto">
        <a:xfrm>
          <a:off x="1888435" y="4447761"/>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2"/>
    <xdr:sp macro="" textlink="">
      <xdr:nvSpPr>
        <xdr:cNvPr id="751" name="AutoShape 184" descr="+">
          <a:extLst>
            <a:ext uri="{FF2B5EF4-FFF2-40B4-BE49-F238E27FC236}">
              <a16:creationId xmlns:a16="http://schemas.microsoft.com/office/drawing/2014/main" id="{ECF83FD0-1672-4B61-809F-BD5A15F3EC3F}"/>
            </a:ext>
          </a:extLst>
        </xdr:cNvPr>
        <xdr:cNvSpPr>
          <a:spLocks noChangeAspect="1" noChangeArrowheads="1"/>
        </xdr:cNvSpPr>
      </xdr:nvSpPr>
      <xdr:spPr bwMode="auto">
        <a:xfrm>
          <a:off x="1888435" y="4447761"/>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04109"/>
    <xdr:sp macro="" textlink="">
      <xdr:nvSpPr>
        <xdr:cNvPr id="752" name="AutoShape 185" descr="+">
          <a:extLst>
            <a:ext uri="{FF2B5EF4-FFF2-40B4-BE49-F238E27FC236}">
              <a16:creationId xmlns:a16="http://schemas.microsoft.com/office/drawing/2014/main" id="{29FD477C-7F47-4CFF-85CD-5D60054EA5EC}"/>
            </a:ext>
          </a:extLst>
        </xdr:cNvPr>
        <xdr:cNvSpPr>
          <a:spLocks noChangeAspect="1" noChangeArrowheads="1"/>
        </xdr:cNvSpPr>
      </xdr:nvSpPr>
      <xdr:spPr bwMode="auto">
        <a:xfrm>
          <a:off x="1888435" y="4447761"/>
          <a:ext cx="304800" cy="2041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76492"/>
    <xdr:sp macro="" textlink="">
      <xdr:nvSpPr>
        <xdr:cNvPr id="753" name="AutoShape 186" descr="+">
          <a:extLst>
            <a:ext uri="{FF2B5EF4-FFF2-40B4-BE49-F238E27FC236}">
              <a16:creationId xmlns:a16="http://schemas.microsoft.com/office/drawing/2014/main" id="{B990E30C-4912-4628-A718-D1D9A7453B9A}"/>
            </a:ext>
          </a:extLst>
        </xdr:cNvPr>
        <xdr:cNvSpPr>
          <a:spLocks noChangeAspect="1" noChangeArrowheads="1"/>
        </xdr:cNvSpPr>
      </xdr:nvSpPr>
      <xdr:spPr bwMode="auto">
        <a:xfrm>
          <a:off x="1888435" y="4447761"/>
          <a:ext cx="304800" cy="1764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71731"/>
    <xdr:sp macro="" textlink="">
      <xdr:nvSpPr>
        <xdr:cNvPr id="754" name="AutoShape 187" descr="+">
          <a:extLst>
            <a:ext uri="{FF2B5EF4-FFF2-40B4-BE49-F238E27FC236}">
              <a16:creationId xmlns:a16="http://schemas.microsoft.com/office/drawing/2014/main" id="{50B161B0-35FA-4A81-BA1A-E3260497FDB6}"/>
            </a:ext>
          </a:extLst>
        </xdr:cNvPr>
        <xdr:cNvSpPr>
          <a:spLocks noChangeAspect="1" noChangeArrowheads="1"/>
        </xdr:cNvSpPr>
      </xdr:nvSpPr>
      <xdr:spPr bwMode="auto">
        <a:xfrm>
          <a:off x="1888435" y="4447761"/>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3"/>
    <xdr:sp macro="" textlink="">
      <xdr:nvSpPr>
        <xdr:cNvPr id="755" name="AutoShape 188" descr="+">
          <a:extLst>
            <a:ext uri="{FF2B5EF4-FFF2-40B4-BE49-F238E27FC236}">
              <a16:creationId xmlns:a16="http://schemas.microsoft.com/office/drawing/2014/main" id="{A3D4DD3B-4D1A-45A6-A6C8-5FFD1C61A50F}"/>
            </a:ext>
          </a:extLst>
        </xdr:cNvPr>
        <xdr:cNvSpPr>
          <a:spLocks noChangeAspect="1" noChangeArrowheads="1"/>
        </xdr:cNvSpPr>
      </xdr:nvSpPr>
      <xdr:spPr bwMode="auto">
        <a:xfrm>
          <a:off x="1888435" y="4447761"/>
          <a:ext cx="304800" cy="2105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1"/>
    <xdr:sp macro="" textlink="">
      <xdr:nvSpPr>
        <xdr:cNvPr id="756" name="AutoShape 189" descr="+">
          <a:extLst>
            <a:ext uri="{FF2B5EF4-FFF2-40B4-BE49-F238E27FC236}">
              <a16:creationId xmlns:a16="http://schemas.microsoft.com/office/drawing/2014/main" id="{B9E16324-9851-4A25-8B84-BCB29F52C2DD}"/>
            </a:ext>
          </a:extLst>
        </xdr:cNvPr>
        <xdr:cNvSpPr>
          <a:spLocks noChangeAspect="1" noChangeArrowheads="1"/>
        </xdr:cNvSpPr>
      </xdr:nvSpPr>
      <xdr:spPr bwMode="auto">
        <a:xfrm>
          <a:off x="1888435" y="4447761"/>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72409"/>
    <xdr:sp macro="" textlink="">
      <xdr:nvSpPr>
        <xdr:cNvPr id="757" name="AutoShape 190" descr="+">
          <a:extLst>
            <a:ext uri="{FF2B5EF4-FFF2-40B4-BE49-F238E27FC236}">
              <a16:creationId xmlns:a16="http://schemas.microsoft.com/office/drawing/2014/main" id="{D4EC29FE-68F5-435C-9F85-626BEA3213C5}"/>
            </a:ext>
          </a:extLst>
        </xdr:cNvPr>
        <xdr:cNvSpPr>
          <a:spLocks noChangeAspect="1" noChangeArrowheads="1"/>
        </xdr:cNvSpPr>
      </xdr:nvSpPr>
      <xdr:spPr bwMode="auto">
        <a:xfrm>
          <a:off x="1888435" y="4447761"/>
          <a:ext cx="304800" cy="1724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1"/>
    <xdr:sp macro="" textlink="">
      <xdr:nvSpPr>
        <xdr:cNvPr id="758" name="AutoShape 191" descr="+">
          <a:extLst>
            <a:ext uri="{FF2B5EF4-FFF2-40B4-BE49-F238E27FC236}">
              <a16:creationId xmlns:a16="http://schemas.microsoft.com/office/drawing/2014/main" id="{98B89A05-4667-4F75-9883-30ED699177A9}"/>
            </a:ext>
          </a:extLst>
        </xdr:cNvPr>
        <xdr:cNvSpPr>
          <a:spLocks noChangeAspect="1" noChangeArrowheads="1"/>
        </xdr:cNvSpPr>
      </xdr:nvSpPr>
      <xdr:spPr bwMode="auto">
        <a:xfrm>
          <a:off x="1888435" y="4447761"/>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76492"/>
    <xdr:sp macro="" textlink="">
      <xdr:nvSpPr>
        <xdr:cNvPr id="759" name="AutoShape 192" descr="+">
          <a:extLst>
            <a:ext uri="{FF2B5EF4-FFF2-40B4-BE49-F238E27FC236}">
              <a16:creationId xmlns:a16="http://schemas.microsoft.com/office/drawing/2014/main" id="{12992BA3-FD4B-442D-8808-247BBB5956A7}"/>
            </a:ext>
          </a:extLst>
        </xdr:cNvPr>
        <xdr:cNvSpPr>
          <a:spLocks noChangeAspect="1" noChangeArrowheads="1"/>
        </xdr:cNvSpPr>
      </xdr:nvSpPr>
      <xdr:spPr bwMode="auto">
        <a:xfrm>
          <a:off x="1888435" y="4447761"/>
          <a:ext cx="304800" cy="1764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2"/>
    <xdr:sp macro="" textlink="">
      <xdr:nvSpPr>
        <xdr:cNvPr id="760" name="AutoShape 193" descr="+">
          <a:extLst>
            <a:ext uri="{FF2B5EF4-FFF2-40B4-BE49-F238E27FC236}">
              <a16:creationId xmlns:a16="http://schemas.microsoft.com/office/drawing/2014/main" id="{A6A2B73B-9579-4177-B1A0-AFA76A1321A4}"/>
            </a:ext>
          </a:extLst>
        </xdr:cNvPr>
        <xdr:cNvSpPr>
          <a:spLocks noChangeAspect="1" noChangeArrowheads="1"/>
        </xdr:cNvSpPr>
      </xdr:nvSpPr>
      <xdr:spPr bwMode="auto">
        <a:xfrm>
          <a:off x="1888435" y="4447761"/>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2"/>
    <xdr:sp macro="" textlink="">
      <xdr:nvSpPr>
        <xdr:cNvPr id="761" name="AutoShape 194" descr="+">
          <a:extLst>
            <a:ext uri="{FF2B5EF4-FFF2-40B4-BE49-F238E27FC236}">
              <a16:creationId xmlns:a16="http://schemas.microsoft.com/office/drawing/2014/main" id="{3D8EED2A-B1E2-4836-A1D8-929404EA2EF2}"/>
            </a:ext>
          </a:extLst>
        </xdr:cNvPr>
        <xdr:cNvSpPr>
          <a:spLocks noChangeAspect="1" noChangeArrowheads="1"/>
        </xdr:cNvSpPr>
      </xdr:nvSpPr>
      <xdr:spPr bwMode="auto">
        <a:xfrm>
          <a:off x="1888435" y="4447761"/>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81936"/>
    <xdr:sp macro="" textlink="">
      <xdr:nvSpPr>
        <xdr:cNvPr id="762" name="AutoShape 195" descr="+">
          <a:extLst>
            <a:ext uri="{FF2B5EF4-FFF2-40B4-BE49-F238E27FC236}">
              <a16:creationId xmlns:a16="http://schemas.microsoft.com/office/drawing/2014/main" id="{CBC3E550-4D8A-4235-A913-FE73D6D56854}"/>
            </a:ext>
          </a:extLst>
        </xdr:cNvPr>
        <xdr:cNvSpPr>
          <a:spLocks noChangeAspect="1" noChangeArrowheads="1"/>
        </xdr:cNvSpPr>
      </xdr:nvSpPr>
      <xdr:spPr bwMode="auto">
        <a:xfrm>
          <a:off x="1888435" y="4447761"/>
          <a:ext cx="304800" cy="18193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00704"/>
    <xdr:sp macro="" textlink="">
      <xdr:nvSpPr>
        <xdr:cNvPr id="763" name="AutoShape 196" descr="+">
          <a:extLst>
            <a:ext uri="{FF2B5EF4-FFF2-40B4-BE49-F238E27FC236}">
              <a16:creationId xmlns:a16="http://schemas.microsoft.com/office/drawing/2014/main" id="{8033B463-EF9E-438A-A973-0A175A77E40D}"/>
            </a:ext>
          </a:extLst>
        </xdr:cNvPr>
        <xdr:cNvSpPr>
          <a:spLocks noChangeAspect="1" noChangeArrowheads="1"/>
        </xdr:cNvSpPr>
      </xdr:nvSpPr>
      <xdr:spPr bwMode="auto">
        <a:xfrm>
          <a:off x="1888435" y="4447761"/>
          <a:ext cx="304800" cy="20070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385"/>
    <xdr:sp macro="" textlink="">
      <xdr:nvSpPr>
        <xdr:cNvPr id="764" name="AutoShape 197" descr="+">
          <a:extLst>
            <a:ext uri="{FF2B5EF4-FFF2-40B4-BE49-F238E27FC236}">
              <a16:creationId xmlns:a16="http://schemas.microsoft.com/office/drawing/2014/main" id="{AF745DD8-E072-41F2-8A40-0555CDEFEFF5}"/>
            </a:ext>
          </a:extLst>
        </xdr:cNvPr>
        <xdr:cNvSpPr>
          <a:spLocks noChangeAspect="1" noChangeArrowheads="1"/>
        </xdr:cNvSpPr>
      </xdr:nvSpPr>
      <xdr:spPr bwMode="auto">
        <a:xfrm>
          <a:off x="1888435" y="4447761"/>
          <a:ext cx="304800" cy="3043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71730"/>
    <xdr:sp macro="" textlink="">
      <xdr:nvSpPr>
        <xdr:cNvPr id="765" name="AutoShape 198" descr="+">
          <a:extLst>
            <a:ext uri="{FF2B5EF4-FFF2-40B4-BE49-F238E27FC236}">
              <a16:creationId xmlns:a16="http://schemas.microsoft.com/office/drawing/2014/main" id="{7FCCE498-0155-4F3A-BF73-79DA3E4066B6}"/>
            </a:ext>
          </a:extLst>
        </xdr:cNvPr>
        <xdr:cNvSpPr>
          <a:spLocks noChangeAspect="1" noChangeArrowheads="1"/>
        </xdr:cNvSpPr>
      </xdr:nvSpPr>
      <xdr:spPr bwMode="auto">
        <a:xfrm>
          <a:off x="1888435" y="4447761"/>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71732"/>
    <xdr:sp macro="" textlink="">
      <xdr:nvSpPr>
        <xdr:cNvPr id="766" name="AutoShape 199" descr="+">
          <a:extLst>
            <a:ext uri="{FF2B5EF4-FFF2-40B4-BE49-F238E27FC236}">
              <a16:creationId xmlns:a16="http://schemas.microsoft.com/office/drawing/2014/main" id="{810CBB9E-F788-476F-80B4-36F8C4CD6F9A}"/>
            </a:ext>
          </a:extLst>
        </xdr:cNvPr>
        <xdr:cNvSpPr>
          <a:spLocks noChangeAspect="1" noChangeArrowheads="1"/>
        </xdr:cNvSpPr>
      </xdr:nvSpPr>
      <xdr:spPr bwMode="auto">
        <a:xfrm>
          <a:off x="1888435" y="4447761"/>
          <a:ext cx="304800" cy="17173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83470"/>
    <xdr:sp macro="" textlink="">
      <xdr:nvSpPr>
        <xdr:cNvPr id="767" name="AutoShape 200" descr="+">
          <a:extLst>
            <a:ext uri="{FF2B5EF4-FFF2-40B4-BE49-F238E27FC236}">
              <a16:creationId xmlns:a16="http://schemas.microsoft.com/office/drawing/2014/main" id="{C1963F40-1899-4F07-890C-E4D0F9082582}"/>
            </a:ext>
          </a:extLst>
        </xdr:cNvPr>
        <xdr:cNvSpPr>
          <a:spLocks noChangeAspect="1" noChangeArrowheads="1"/>
        </xdr:cNvSpPr>
      </xdr:nvSpPr>
      <xdr:spPr bwMode="auto">
        <a:xfrm>
          <a:off x="1888435" y="4447761"/>
          <a:ext cx="304800" cy="1834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71731"/>
    <xdr:sp macro="" textlink="">
      <xdr:nvSpPr>
        <xdr:cNvPr id="768" name="AutoShape 201" descr="+">
          <a:extLst>
            <a:ext uri="{FF2B5EF4-FFF2-40B4-BE49-F238E27FC236}">
              <a16:creationId xmlns:a16="http://schemas.microsoft.com/office/drawing/2014/main" id="{F93D9AE1-D90B-4897-A7E7-02B60F9A66FC}"/>
            </a:ext>
          </a:extLst>
        </xdr:cNvPr>
        <xdr:cNvSpPr>
          <a:spLocks noChangeAspect="1" noChangeArrowheads="1"/>
        </xdr:cNvSpPr>
      </xdr:nvSpPr>
      <xdr:spPr bwMode="auto">
        <a:xfrm>
          <a:off x="1888435" y="4447761"/>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2"/>
    <xdr:sp macro="" textlink="">
      <xdr:nvSpPr>
        <xdr:cNvPr id="769" name="AutoShape 202" descr="+">
          <a:extLst>
            <a:ext uri="{FF2B5EF4-FFF2-40B4-BE49-F238E27FC236}">
              <a16:creationId xmlns:a16="http://schemas.microsoft.com/office/drawing/2014/main" id="{51657C78-1453-435C-BAC1-925973F0FB9E}"/>
            </a:ext>
          </a:extLst>
        </xdr:cNvPr>
        <xdr:cNvSpPr>
          <a:spLocks noChangeAspect="1" noChangeArrowheads="1"/>
        </xdr:cNvSpPr>
      </xdr:nvSpPr>
      <xdr:spPr bwMode="auto">
        <a:xfrm>
          <a:off x="1888435" y="4447761"/>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0"/>
    <xdr:sp macro="" textlink="">
      <xdr:nvSpPr>
        <xdr:cNvPr id="770" name="AutoShape 203" descr="+">
          <a:extLst>
            <a:ext uri="{FF2B5EF4-FFF2-40B4-BE49-F238E27FC236}">
              <a16:creationId xmlns:a16="http://schemas.microsoft.com/office/drawing/2014/main" id="{B7732B5A-1DB2-4D23-AFED-F65FD14DDC13}"/>
            </a:ext>
          </a:extLst>
        </xdr:cNvPr>
        <xdr:cNvSpPr>
          <a:spLocks noChangeAspect="1" noChangeArrowheads="1"/>
        </xdr:cNvSpPr>
      </xdr:nvSpPr>
      <xdr:spPr bwMode="auto">
        <a:xfrm>
          <a:off x="1888435" y="4447761"/>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0"/>
    <xdr:sp macro="" textlink="">
      <xdr:nvSpPr>
        <xdr:cNvPr id="771" name="AutoShape 204" descr="+">
          <a:extLst>
            <a:ext uri="{FF2B5EF4-FFF2-40B4-BE49-F238E27FC236}">
              <a16:creationId xmlns:a16="http://schemas.microsoft.com/office/drawing/2014/main" id="{95ED2CC6-29D2-4843-8998-F00D49218C81}"/>
            </a:ext>
          </a:extLst>
        </xdr:cNvPr>
        <xdr:cNvSpPr>
          <a:spLocks noChangeAspect="1" noChangeArrowheads="1"/>
        </xdr:cNvSpPr>
      </xdr:nvSpPr>
      <xdr:spPr bwMode="auto">
        <a:xfrm>
          <a:off x="1888435" y="4447761"/>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2"/>
    <xdr:sp macro="" textlink="">
      <xdr:nvSpPr>
        <xdr:cNvPr id="772" name="AutoShape 205" descr="+">
          <a:extLst>
            <a:ext uri="{FF2B5EF4-FFF2-40B4-BE49-F238E27FC236}">
              <a16:creationId xmlns:a16="http://schemas.microsoft.com/office/drawing/2014/main" id="{DF51AC23-BC85-49B1-802A-52E6C3A4DF02}"/>
            </a:ext>
          </a:extLst>
        </xdr:cNvPr>
        <xdr:cNvSpPr>
          <a:spLocks noChangeAspect="1" noChangeArrowheads="1"/>
        </xdr:cNvSpPr>
      </xdr:nvSpPr>
      <xdr:spPr bwMode="auto">
        <a:xfrm>
          <a:off x="1888435" y="4447761"/>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71730"/>
    <xdr:sp macro="" textlink="">
      <xdr:nvSpPr>
        <xdr:cNvPr id="773" name="AutoShape 206" descr="+">
          <a:extLst>
            <a:ext uri="{FF2B5EF4-FFF2-40B4-BE49-F238E27FC236}">
              <a16:creationId xmlns:a16="http://schemas.microsoft.com/office/drawing/2014/main" id="{6900CBCE-9267-4F20-8F10-4BB9C33769F1}"/>
            </a:ext>
          </a:extLst>
        </xdr:cNvPr>
        <xdr:cNvSpPr>
          <a:spLocks noChangeAspect="1" noChangeArrowheads="1"/>
        </xdr:cNvSpPr>
      </xdr:nvSpPr>
      <xdr:spPr bwMode="auto">
        <a:xfrm>
          <a:off x="1888435" y="4447761"/>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81937"/>
    <xdr:sp macro="" textlink="">
      <xdr:nvSpPr>
        <xdr:cNvPr id="774" name="AutoShape 207" descr="+">
          <a:extLst>
            <a:ext uri="{FF2B5EF4-FFF2-40B4-BE49-F238E27FC236}">
              <a16:creationId xmlns:a16="http://schemas.microsoft.com/office/drawing/2014/main" id="{E9926547-A931-4C7F-A62D-F9FBB92BB63A}"/>
            </a:ext>
          </a:extLst>
        </xdr:cNvPr>
        <xdr:cNvSpPr>
          <a:spLocks noChangeAspect="1" noChangeArrowheads="1"/>
        </xdr:cNvSpPr>
      </xdr:nvSpPr>
      <xdr:spPr bwMode="auto">
        <a:xfrm>
          <a:off x="1888435" y="4447761"/>
          <a:ext cx="304800" cy="18193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1"/>
    <xdr:sp macro="" textlink="">
      <xdr:nvSpPr>
        <xdr:cNvPr id="775" name="AutoShape 208" descr="+">
          <a:extLst>
            <a:ext uri="{FF2B5EF4-FFF2-40B4-BE49-F238E27FC236}">
              <a16:creationId xmlns:a16="http://schemas.microsoft.com/office/drawing/2014/main" id="{E568AF0E-F61F-448C-8E69-0818BC3F2BD7}"/>
            </a:ext>
          </a:extLst>
        </xdr:cNvPr>
        <xdr:cNvSpPr>
          <a:spLocks noChangeAspect="1" noChangeArrowheads="1"/>
        </xdr:cNvSpPr>
      </xdr:nvSpPr>
      <xdr:spPr bwMode="auto">
        <a:xfrm>
          <a:off x="1888435" y="4447761"/>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09"/>
    <xdr:sp macro="" textlink="">
      <xdr:nvSpPr>
        <xdr:cNvPr id="776" name="AutoShape 209" descr="+">
          <a:extLst>
            <a:ext uri="{FF2B5EF4-FFF2-40B4-BE49-F238E27FC236}">
              <a16:creationId xmlns:a16="http://schemas.microsoft.com/office/drawing/2014/main" id="{8F1DBC22-4352-462D-AC92-9ECF9093EEEE}"/>
            </a:ext>
          </a:extLst>
        </xdr:cNvPr>
        <xdr:cNvSpPr>
          <a:spLocks noChangeAspect="1" noChangeArrowheads="1"/>
        </xdr:cNvSpPr>
      </xdr:nvSpPr>
      <xdr:spPr bwMode="auto">
        <a:xfrm>
          <a:off x="1888435" y="4447761"/>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91461"/>
    <xdr:sp macro="" textlink="">
      <xdr:nvSpPr>
        <xdr:cNvPr id="777" name="AutoShape 210" descr="+">
          <a:extLst>
            <a:ext uri="{FF2B5EF4-FFF2-40B4-BE49-F238E27FC236}">
              <a16:creationId xmlns:a16="http://schemas.microsoft.com/office/drawing/2014/main" id="{B19D7DC6-7994-4D9E-870B-7AF7FA9CB657}"/>
            </a:ext>
          </a:extLst>
        </xdr:cNvPr>
        <xdr:cNvSpPr>
          <a:spLocks noChangeAspect="1" noChangeArrowheads="1"/>
        </xdr:cNvSpPr>
      </xdr:nvSpPr>
      <xdr:spPr bwMode="auto">
        <a:xfrm>
          <a:off x="1888435" y="4447761"/>
          <a:ext cx="304800" cy="1914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385"/>
    <xdr:sp macro="" textlink="">
      <xdr:nvSpPr>
        <xdr:cNvPr id="778" name="AutoShape 211" descr="+">
          <a:extLst>
            <a:ext uri="{FF2B5EF4-FFF2-40B4-BE49-F238E27FC236}">
              <a16:creationId xmlns:a16="http://schemas.microsoft.com/office/drawing/2014/main" id="{CECC9D35-C878-4F00-B77A-36C0F4564AC1}"/>
            </a:ext>
          </a:extLst>
        </xdr:cNvPr>
        <xdr:cNvSpPr>
          <a:spLocks noChangeAspect="1" noChangeArrowheads="1"/>
        </xdr:cNvSpPr>
      </xdr:nvSpPr>
      <xdr:spPr bwMode="auto">
        <a:xfrm>
          <a:off x="1888435" y="4447761"/>
          <a:ext cx="304800" cy="3043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76415"/>
    <xdr:sp macro="" textlink="">
      <xdr:nvSpPr>
        <xdr:cNvPr id="779" name="AutoShape 212" descr="+">
          <a:extLst>
            <a:ext uri="{FF2B5EF4-FFF2-40B4-BE49-F238E27FC236}">
              <a16:creationId xmlns:a16="http://schemas.microsoft.com/office/drawing/2014/main" id="{12BC5506-D1DB-4233-885F-E6D0DCE57E75}"/>
            </a:ext>
          </a:extLst>
        </xdr:cNvPr>
        <xdr:cNvSpPr>
          <a:spLocks noChangeAspect="1" noChangeArrowheads="1"/>
        </xdr:cNvSpPr>
      </xdr:nvSpPr>
      <xdr:spPr bwMode="auto">
        <a:xfrm>
          <a:off x="1888435" y="4447761"/>
          <a:ext cx="304800" cy="2764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73131"/>
    <xdr:sp macro="" textlink="">
      <xdr:nvSpPr>
        <xdr:cNvPr id="780" name="AutoShape 213" descr="+">
          <a:extLst>
            <a:ext uri="{FF2B5EF4-FFF2-40B4-BE49-F238E27FC236}">
              <a16:creationId xmlns:a16="http://schemas.microsoft.com/office/drawing/2014/main" id="{21F1D34F-C701-46F4-A389-FDA6D54978A3}"/>
            </a:ext>
          </a:extLst>
        </xdr:cNvPr>
        <xdr:cNvSpPr>
          <a:spLocks noChangeAspect="1" noChangeArrowheads="1"/>
        </xdr:cNvSpPr>
      </xdr:nvSpPr>
      <xdr:spPr bwMode="auto">
        <a:xfrm>
          <a:off x="1888435" y="4447761"/>
          <a:ext cx="304800" cy="1731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0"/>
    <xdr:sp macro="" textlink="">
      <xdr:nvSpPr>
        <xdr:cNvPr id="781" name="AutoShape 214" descr="+">
          <a:extLst>
            <a:ext uri="{FF2B5EF4-FFF2-40B4-BE49-F238E27FC236}">
              <a16:creationId xmlns:a16="http://schemas.microsoft.com/office/drawing/2014/main" id="{E4F0B1A7-9920-4BDB-BF7E-AB9CD70735F8}"/>
            </a:ext>
          </a:extLst>
        </xdr:cNvPr>
        <xdr:cNvSpPr>
          <a:spLocks noChangeAspect="1" noChangeArrowheads="1"/>
        </xdr:cNvSpPr>
      </xdr:nvSpPr>
      <xdr:spPr bwMode="auto">
        <a:xfrm>
          <a:off x="1888435" y="4447761"/>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2"/>
    <xdr:sp macro="" textlink="">
      <xdr:nvSpPr>
        <xdr:cNvPr id="782" name="AutoShape 215" descr="+">
          <a:extLst>
            <a:ext uri="{FF2B5EF4-FFF2-40B4-BE49-F238E27FC236}">
              <a16:creationId xmlns:a16="http://schemas.microsoft.com/office/drawing/2014/main" id="{5169B0D3-8B0C-4808-838C-5B21F5B4260C}"/>
            </a:ext>
          </a:extLst>
        </xdr:cNvPr>
        <xdr:cNvSpPr>
          <a:spLocks noChangeAspect="1" noChangeArrowheads="1"/>
        </xdr:cNvSpPr>
      </xdr:nvSpPr>
      <xdr:spPr bwMode="auto">
        <a:xfrm>
          <a:off x="1888435" y="4447761"/>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03090"/>
    <xdr:sp macro="" textlink="">
      <xdr:nvSpPr>
        <xdr:cNvPr id="783" name="AutoShape 216" descr="+">
          <a:extLst>
            <a:ext uri="{FF2B5EF4-FFF2-40B4-BE49-F238E27FC236}">
              <a16:creationId xmlns:a16="http://schemas.microsoft.com/office/drawing/2014/main" id="{19DF9D06-FA8B-4FFB-89E9-CF6DF149844D}"/>
            </a:ext>
          </a:extLst>
        </xdr:cNvPr>
        <xdr:cNvSpPr>
          <a:spLocks noChangeAspect="1" noChangeArrowheads="1"/>
        </xdr:cNvSpPr>
      </xdr:nvSpPr>
      <xdr:spPr bwMode="auto">
        <a:xfrm>
          <a:off x="1888435" y="4447761"/>
          <a:ext cx="304800" cy="2030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71730"/>
    <xdr:sp macro="" textlink="">
      <xdr:nvSpPr>
        <xdr:cNvPr id="784" name="AutoShape 217" descr="+">
          <a:extLst>
            <a:ext uri="{FF2B5EF4-FFF2-40B4-BE49-F238E27FC236}">
              <a16:creationId xmlns:a16="http://schemas.microsoft.com/office/drawing/2014/main" id="{1B7BE7AC-AEA2-47E1-941B-5474F658969E}"/>
            </a:ext>
          </a:extLst>
        </xdr:cNvPr>
        <xdr:cNvSpPr>
          <a:spLocks noChangeAspect="1" noChangeArrowheads="1"/>
        </xdr:cNvSpPr>
      </xdr:nvSpPr>
      <xdr:spPr bwMode="auto">
        <a:xfrm>
          <a:off x="1888435" y="4447761"/>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71731"/>
    <xdr:sp macro="" textlink="">
      <xdr:nvSpPr>
        <xdr:cNvPr id="785" name="AutoShape 218" descr="+">
          <a:extLst>
            <a:ext uri="{FF2B5EF4-FFF2-40B4-BE49-F238E27FC236}">
              <a16:creationId xmlns:a16="http://schemas.microsoft.com/office/drawing/2014/main" id="{00DA34D3-7AE4-4866-B5A6-D55631B396E4}"/>
            </a:ext>
          </a:extLst>
        </xdr:cNvPr>
        <xdr:cNvSpPr>
          <a:spLocks noChangeAspect="1" noChangeArrowheads="1"/>
        </xdr:cNvSpPr>
      </xdr:nvSpPr>
      <xdr:spPr bwMode="auto">
        <a:xfrm>
          <a:off x="1888435" y="4447761"/>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86697"/>
    <xdr:sp macro="" textlink="">
      <xdr:nvSpPr>
        <xdr:cNvPr id="786" name="AutoShape 219" descr="+">
          <a:extLst>
            <a:ext uri="{FF2B5EF4-FFF2-40B4-BE49-F238E27FC236}">
              <a16:creationId xmlns:a16="http://schemas.microsoft.com/office/drawing/2014/main" id="{9D6BCB99-4B46-4A61-B24D-8C4E4BA59C5F}"/>
            </a:ext>
          </a:extLst>
        </xdr:cNvPr>
        <xdr:cNvSpPr>
          <a:spLocks noChangeAspect="1" noChangeArrowheads="1"/>
        </xdr:cNvSpPr>
      </xdr:nvSpPr>
      <xdr:spPr bwMode="auto">
        <a:xfrm>
          <a:off x="1888435" y="4447761"/>
          <a:ext cx="304800" cy="18669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71731"/>
    <xdr:sp macro="" textlink="">
      <xdr:nvSpPr>
        <xdr:cNvPr id="787" name="AutoShape 220" descr="+">
          <a:extLst>
            <a:ext uri="{FF2B5EF4-FFF2-40B4-BE49-F238E27FC236}">
              <a16:creationId xmlns:a16="http://schemas.microsoft.com/office/drawing/2014/main" id="{D4DD73BA-2C25-47F3-8343-D3F972781C55}"/>
            </a:ext>
          </a:extLst>
        </xdr:cNvPr>
        <xdr:cNvSpPr>
          <a:spLocks noChangeAspect="1" noChangeArrowheads="1"/>
        </xdr:cNvSpPr>
      </xdr:nvSpPr>
      <xdr:spPr bwMode="auto">
        <a:xfrm>
          <a:off x="1888435" y="4447761"/>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2"/>
    <xdr:sp macro="" textlink="">
      <xdr:nvSpPr>
        <xdr:cNvPr id="788" name="AutoShape 221" descr="+">
          <a:extLst>
            <a:ext uri="{FF2B5EF4-FFF2-40B4-BE49-F238E27FC236}">
              <a16:creationId xmlns:a16="http://schemas.microsoft.com/office/drawing/2014/main" id="{BAEE61CA-BD43-4D83-919F-D449AB7C403E}"/>
            </a:ext>
          </a:extLst>
        </xdr:cNvPr>
        <xdr:cNvSpPr>
          <a:spLocks noChangeAspect="1" noChangeArrowheads="1"/>
        </xdr:cNvSpPr>
      </xdr:nvSpPr>
      <xdr:spPr bwMode="auto">
        <a:xfrm>
          <a:off x="1888435" y="4447761"/>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2"/>
    <xdr:sp macro="" textlink="">
      <xdr:nvSpPr>
        <xdr:cNvPr id="789" name="AutoShape 222" descr="+">
          <a:extLst>
            <a:ext uri="{FF2B5EF4-FFF2-40B4-BE49-F238E27FC236}">
              <a16:creationId xmlns:a16="http://schemas.microsoft.com/office/drawing/2014/main" id="{F6F50193-B16F-4B5C-B4C7-185387A8A694}"/>
            </a:ext>
          </a:extLst>
        </xdr:cNvPr>
        <xdr:cNvSpPr>
          <a:spLocks noChangeAspect="1" noChangeArrowheads="1"/>
        </xdr:cNvSpPr>
      </xdr:nvSpPr>
      <xdr:spPr bwMode="auto">
        <a:xfrm>
          <a:off x="1888435" y="4447761"/>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0"/>
    <xdr:sp macro="" textlink="">
      <xdr:nvSpPr>
        <xdr:cNvPr id="790" name="AutoShape 223" descr="+">
          <a:extLst>
            <a:ext uri="{FF2B5EF4-FFF2-40B4-BE49-F238E27FC236}">
              <a16:creationId xmlns:a16="http://schemas.microsoft.com/office/drawing/2014/main" id="{DDCBFE3C-B9E1-43E6-8B4C-DAB7801D55DB}"/>
            </a:ext>
          </a:extLst>
        </xdr:cNvPr>
        <xdr:cNvSpPr>
          <a:spLocks noChangeAspect="1" noChangeArrowheads="1"/>
        </xdr:cNvSpPr>
      </xdr:nvSpPr>
      <xdr:spPr bwMode="auto">
        <a:xfrm>
          <a:off x="1888435" y="4447761"/>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0"/>
    <xdr:sp macro="" textlink="">
      <xdr:nvSpPr>
        <xdr:cNvPr id="791" name="AutoShape 224" descr="+">
          <a:extLst>
            <a:ext uri="{FF2B5EF4-FFF2-40B4-BE49-F238E27FC236}">
              <a16:creationId xmlns:a16="http://schemas.microsoft.com/office/drawing/2014/main" id="{3518092D-17E1-46F4-85EF-C2AE6C4E498D}"/>
            </a:ext>
          </a:extLst>
        </xdr:cNvPr>
        <xdr:cNvSpPr>
          <a:spLocks noChangeAspect="1" noChangeArrowheads="1"/>
        </xdr:cNvSpPr>
      </xdr:nvSpPr>
      <xdr:spPr bwMode="auto">
        <a:xfrm>
          <a:off x="1888435" y="4447761"/>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91460"/>
    <xdr:sp macro="" textlink="">
      <xdr:nvSpPr>
        <xdr:cNvPr id="792" name="AutoShape 225" descr="+">
          <a:extLst>
            <a:ext uri="{FF2B5EF4-FFF2-40B4-BE49-F238E27FC236}">
              <a16:creationId xmlns:a16="http://schemas.microsoft.com/office/drawing/2014/main" id="{F101B514-968B-4475-8BEB-44EBBEA1AD20}"/>
            </a:ext>
          </a:extLst>
        </xdr:cNvPr>
        <xdr:cNvSpPr>
          <a:spLocks noChangeAspect="1" noChangeArrowheads="1"/>
        </xdr:cNvSpPr>
      </xdr:nvSpPr>
      <xdr:spPr bwMode="auto">
        <a:xfrm>
          <a:off x="1888435" y="4447761"/>
          <a:ext cx="304800" cy="19146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387"/>
    <xdr:sp macro="" textlink="">
      <xdr:nvSpPr>
        <xdr:cNvPr id="793" name="AutoShape 226" descr="+">
          <a:extLst>
            <a:ext uri="{FF2B5EF4-FFF2-40B4-BE49-F238E27FC236}">
              <a16:creationId xmlns:a16="http://schemas.microsoft.com/office/drawing/2014/main" id="{F7C92495-A6CF-456D-9E1B-53312F7079CD}"/>
            </a:ext>
          </a:extLst>
        </xdr:cNvPr>
        <xdr:cNvSpPr>
          <a:spLocks noChangeAspect="1" noChangeArrowheads="1"/>
        </xdr:cNvSpPr>
      </xdr:nvSpPr>
      <xdr:spPr bwMode="auto">
        <a:xfrm>
          <a:off x="1888435" y="4447761"/>
          <a:ext cx="304800" cy="3043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0"/>
    <xdr:sp macro="" textlink="">
      <xdr:nvSpPr>
        <xdr:cNvPr id="794" name="AutoShape 227" descr="+">
          <a:extLst>
            <a:ext uri="{FF2B5EF4-FFF2-40B4-BE49-F238E27FC236}">
              <a16:creationId xmlns:a16="http://schemas.microsoft.com/office/drawing/2014/main" id="{31B7A1F9-9BAA-4CCC-B3C3-34D310D992EE}"/>
            </a:ext>
          </a:extLst>
        </xdr:cNvPr>
        <xdr:cNvSpPr>
          <a:spLocks noChangeAspect="1" noChangeArrowheads="1"/>
        </xdr:cNvSpPr>
      </xdr:nvSpPr>
      <xdr:spPr bwMode="auto">
        <a:xfrm>
          <a:off x="1888435" y="4447761"/>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1"/>
    <xdr:sp macro="" textlink="">
      <xdr:nvSpPr>
        <xdr:cNvPr id="795" name="AutoShape 228" descr="+">
          <a:extLst>
            <a:ext uri="{FF2B5EF4-FFF2-40B4-BE49-F238E27FC236}">
              <a16:creationId xmlns:a16="http://schemas.microsoft.com/office/drawing/2014/main" id="{BCDC052C-47C9-45F4-8237-E84A17D35A04}"/>
            </a:ext>
          </a:extLst>
        </xdr:cNvPr>
        <xdr:cNvSpPr>
          <a:spLocks noChangeAspect="1" noChangeArrowheads="1"/>
        </xdr:cNvSpPr>
      </xdr:nvSpPr>
      <xdr:spPr bwMode="auto">
        <a:xfrm>
          <a:off x="1888435" y="4447761"/>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6064"/>
    <xdr:sp macro="" textlink="">
      <xdr:nvSpPr>
        <xdr:cNvPr id="796" name="AutoShape 229" descr="+">
          <a:extLst>
            <a:ext uri="{FF2B5EF4-FFF2-40B4-BE49-F238E27FC236}">
              <a16:creationId xmlns:a16="http://schemas.microsoft.com/office/drawing/2014/main" id="{E323B40C-8885-4DE9-87A0-DD4A5C9635F4}"/>
            </a:ext>
          </a:extLst>
        </xdr:cNvPr>
        <xdr:cNvSpPr>
          <a:spLocks noChangeAspect="1" noChangeArrowheads="1"/>
        </xdr:cNvSpPr>
      </xdr:nvSpPr>
      <xdr:spPr bwMode="auto">
        <a:xfrm>
          <a:off x="1888435" y="4447761"/>
          <a:ext cx="304800" cy="30606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386"/>
    <xdr:sp macro="" textlink="">
      <xdr:nvSpPr>
        <xdr:cNvPr id="797" name="AutoShape 230" descr="+">
          <a:extLst>
            <a:ext uri="{FF2B5EF4-FFF2-40B4-BE49-F238E27FC236}">
              <a16:creationId xmlns:a16="http://schemas.microsoft.com/office/drawing/2014/main" id="{62F1CC39-8DAA-4E04-AC97-C04B0D03F3E1}"/>
            </a:ext>
          </a:extLst>
        </xdr:cNvPr>
        <xdr:cNvSpPr>
          <a:spLocks noChangeAspect="1" noChangeArrowheads="1"/>
        </xdr:cNvSpPr>
      </xdr:nvSpPr>
      <xdr:spPr bwMode="auto">
        <a:xfrm>
          <a:off x="1888435" y="4447761"/>
          <a:ext cx="304800" cy="30438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71730"/>
    <xdr:sp macro="" textlink="">
      <xdr:nvSpPr>
        <xdr:cNvPr id="798" name="AutoShape 231" descr="+">
          <a:extLst>
            <a:ext uri="{FF2B5EF4-FFF2-40B4-BE49-F238E27FC236}">
              <a16:creationId xmlns:a16="http://schemas.microsoft.com/office/drawing/2014/main" id="{F688E6CC-5E5D-4BE8-849A-5D012C658F0F}"/>
            </a:ext>
          </a:extLst>
        </xdr:cNvPr>
        <xdr:cNvSpPr>
          <a:spLocks noChangeAspect="1" noChangeArrowheads="1"/>
        </xdr:cNvSpPr>
      </xdr:nvSpPr>
      <xdr:spPr bwMode="auto">
        <a:xfrm>
          <a:off x="1888435" y="4447761"/>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81938"/>
    <xdr:sp macro="" textlink="">
      <xdr:nvSpPr>
        <xdr:cNvPr id="799" name="AutoShape 232" descr="+">
          <a:extLst>
            <a:ext uri="{FF2B5EF4-FFF2-40B4-BE49-F238E27FC236}">
              <a16:creationId xmlns:a16="http://schemas.microsoft.com/office/drawing/2014/main" id="{4869907B-F47F-4E27-9C90-F0BB29894531}"/>
            </a:ext>
          </a:extLst>
        </xdr:cNvPr>
        <xdr:cNvSpPr>
          <a:spLocks noChangeAspect="1" noChangeArrowheads="1"/>
        </xdr:cNvSpPr>
      </xdr:nvSpPr>
      <xdr:spPr bwMode="auto">
        <a:xfrm>
          <a:off x="1888435" y="4447761"/>
          <a:ext cx="304800" cy="1819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71730"/>
    <xdr:sp macro="" textlink="">
      <xdr:nvSpPr>
        <xdr:cNvPr id="800" name="AutoShape 233" descr="+">
          <a:extLst>
            <a:ext uri="{FF2B5EF4-FFF2-40B4-BE49-F238E27FC236}">
              <a16:creationId xmlns:a16="http://schemas.microsoft.com/office/drawing/2014/main" id="{2D020F05-C16D-4BEC-94F1-D4AEB19A3B6F}"/>
            </a:ext>
          </a:extLst>
        </xdr:cNvPr>
        <xdr:cNvSpPr>
          <a:spLocks noChangeAspect="1" noChangeArrowheads="1"/>
        </xdr:cNvSpPr>
      </xdr:nvSpPr>
      <xdr:spPr bwMode="auto">
        <a:xfrm>
          <a:off x="1888435" y="4447761"/>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2"/>
    <xdr:sp macro="" textlink="">
      <xdr:nvSpPr>
        <xdr:cNvPr id="801" name="AutoShape 234" descr="+">
          <a:extLst>
            <a:ext uri="{FF2B5EF4-FFF2-40B4-BE49-F238E27FC236}">
              <a16:creationId xmlns:a16="http://schemas.microsoft.com/office/drawing/2014/main" id="{789FD3EB-997A-43E4-B09A-FFE60D23C22A}"/>
            </a:ext>
          </a:extLst>
        </xdr:cNvPr>
        <xdr:cNvSpPr>
          <a:spLocks noChangeAspect="1" noChangeArrowheads="1"/>
        </xdr:cNvSpPr>
      </xdr:nvSpPr>
      <xdr:spPr bwMode="auto">
        <a:xfrm>
          <a:off x="1888435" y="4447761"/>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09"/>
    <xdr:sp macro="" textlink="">
      <xdr:nvSpPr>
        <xdr:cNvPr id="802" name="AutoShape 235" descr="+">
          <a:extLst>
            <a:ext uri="{FF2B5EF4-FFF2-40B4-BE49-F238E27FC236}">
              <a16:creationId xmlns:a16="http://schemas.microsoft.com/office/drawing/2014/main" id="{EA7A87DC-C39C-4478-9550-57CFD3F4D0E8}"/>
            </a:ext>
          </a:extLst>
        </xdr:cNvPr>
        <xdr:cNvSpPr>
          <a:spLocks noChangeAspect="1" noChangeArrowheads="1"/>
        </xdr:cNvSpPr>
      </xdr:nvSpPr>
      <xdr:spPr bwMode="auto">
        <a:xfrm>
          <a:off x="1888435" y="4447761"/>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1"/>
    <xdr:sp macro="" textlink="">
      <xdr:nvSpPr>
        <xdr:cNvPr id="803" name="AutoShape 236" descr="+">
          <a:extLst>
            <a:ext uri="{FF2B5EF4-FFF2-40B4-BE49-F238E27FC236}">
              <a16:creationId xmlns:a16="http://schemas.microsoft.com/office/drawing/2014/main" id="{F83252BC-A986-4A47-AC20-85A5D1A23D56}"/>
            </a:ext>
          </a:extLst>
        </xdr:cNvPr>
        <xdr:cNvSpPr>
          <a:spLocks noChangeAspect="1" noChangeArrowheads="1"/>
        </xdr:cNvSpPr>
      </xdr:nvSpPr>
      <xdr:spPr bwMode="auto">
        <a:xfrm>
          <a:off x="1888435" y="4447761"/>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71730"/>
    <xdr:sp macro="" textlink="">
      <xdr:nvSpPr>
        <xdr:cNvPr id="804" name="AutoShape 237" descr="+">
          <a:extLst>
            <a:ext uri="{FF2B5EF4-FFF2-40B4-BE49-F238E27FC236}">
              <a16:creationId xmlns:a16="http://schemas.microsoft.com/office/drawing/2014/main" id="{4E651C80-B0D3-4412-ADCA-CB65867244DE}"/>
            </a:ext>
          </a:extLst>
        </xdr:cNvPr>
        <xdr:cNvSpPr>
          <a:spLocks noChangeAspect="1" noChangeArrowheads="1"/>
        </xdr:cNvSpPr>
      </xdr:nvSpPr>
      <xdr:spPr bwMode="auto">
        <a:xfrm>
          <a:off x="1888435" y="4447761"/>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4"/>
    <xdr:sp macro="" textlink="">
      <xdr:nvSpPr>
        <xdr:cNvPr id="805" name="AutoShape 238" descr="+">
          <a:extLst>
            <a:ext uri="{FF2B5EF4-FFF2-40B4-BE49-F238E27FC236}">
              <a16:creationId xmlns:a16="http://schemas.microsoft.com/office/drawing/2014/main" id="{F8FF169F-3031-45C9-B51F-FB85C7519998}"/>
            </a:ext>
          </a:extLst>
        </xdr:cNvPr>
        <xdr:cNvSpPr>
          <a:spLocks noChangeAspect="1" noChangeArrowheads="1"/>
        </xdr:cNvSpPr>
      </xdr:nvSpPr>
      <xdr:spPr bwMode="auto">
        <a:xfrm>
          <a:off x="1888435" y="4447761"/>
          <a:ext cx="304800" cy="2105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09"/>
    <xdr:sp macro="" textlink="">
      <xdr:nvSpPr>
        <xdr:cNvPr id="806" name="AutoShape 239" descr="+">
          <a:extLst>
            <a:ext uri="{FF2B5EF4-FFF2-40B4-BE49-F238E27FC236}">
              <a16:creationId xmlns:a16="http://schemas.microsoft.com/office/drawing/2014/main" id="{2FC60200-C22A-4AEE-869E-537523400FA1}"/>
            </a:ext>
          </a:extLst>
        </xdr:cNvPr>
        <xdr:cNvSpPr>
          <a:spLocks noChangeAspect="1" noChangeArrowheads="1"/>
        </xdr:cNvSpPr>
      </xdr:nvSpPr>
      <xdr:spPr bwMode="auto">
        <a:xfrm>
          <a:off x="1888435" y="4447761"/>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1"/>
    <xdr:sp macro="" textlink="">
      <xdr:nvSpPr>
        <xdr:cNvPr id="807" name="AutoShape 240" descr="+">
          <a:extLst>
            <a:ext uri="{FF2B5EF4-FFF2-40B4-BE49-F238E27FC236}">
              <a16:creationId xmlns:a16="http://schemas.microsoft.com/office/drawing/2014/main" id="{8BD1FF4F-ECA4-4147-AB4B-77CE40F97A97}"/>
            </a:ext>
          </a:extLst>
        </xdr:cNvPr>
        <xdr:cNvSpPr>
          <a:spLocks noChangeAspect="1" noChangeArrowheads="1"/>
        </xdr:cNvSpPr>
      </xdr:nvSpPr>
      <xdr:spPr bwMode="auto">
        <a:xfrm>
          <a:off x="1888435" y="4447761"/>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0"/>
    <xdr:sp macro="" textlink="">
      <xdr:nvSpPr>
        <xdr:cNvPr id="808" name="AutoShape 241" descr="+">
          <a:extLst>
            <a:ext uri="{FF2B5EF4-FFF2-40B4-BE49-F238E27FC236}">
              <a16:creationId xmlns:a16="http://schemas.microsoft.com/office/drawing/2014/main" id="{E1DE3EEA-6733-4782-859E-BB1B2AF3B943}"/>
            </a:ext>
          </a:extLst>
        </xdr:cNvPr>
        <xdr:cNvSpPr>
          <a:spLocks noChangeAspect="1" noChangeArrowheads="1"/>
        </xdr:cNvSpPr>
      </xdr:nvSpPr>
      <xdr:spPr bwMode="auto">
        <a:xfrm>
          <a:off x="1888435" y="4447761"/>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86698"/>
    <xdr:sp macro="" textlink="">
      <xdr:nvSpPr>
        <xdr:cNvPr id="809" name="AutoShape 242" descr="+">
          <a:extLst>
            <a:ext uri="{FF2B5EF4-FFF2-40B4-BE49-F238E27FC236}">
              <a16:creationId xmlns:a16="http://schemas.microsoft.com/office/drawing/2014/main" id="{AEF14AD8-D694-4412-87E4-10A022F614BF}"/>
            </a:ext>
          </a:extLst>
        </xdr:cNvPr>
        <xdr:cNvSpPr>
          <a:spLocks noChangeAspect="1" noChangeArrowheads="1"/>
        </xdr:cNvSpPr>
      </xdr:nvSpPr>
      <xdr:spPr bwMode="auto">
        <a:xfrm>
          <a:off x="1888435" y="4447761"/>
          <a:ext cx="304800" cy="18669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2"/>
    <xdr:sp macro="" textlink="">
      <xdr:nvSpPr>
        <xdr:cNvPr id="810" name="AutoShape 243" descr="+">
          <a:extLst>
            <a:ext uri="{FF2B5EF4-FFF2-40B4-BE49-F238E27FC236}">
              <a16:creationId xmlns:a16="http://schemas.microsoft.com/office/drawing/2014/main" id="{6FC35319-140E-46F5-B2A6-A227D7484BAC}"/>
            </a:ext>
          </a:extLst>
        </xdr:cNvPr>
        <xdr:cNvSpPr>
          <a:spLocks noChangeAspect="1" noChangeArrowheads="1"/>
        </xdr:cNvSpPr>
      </xdr:nvSpPr>
      <xdr:spPr bwMode="auto">
        <a:xfrm>
          <a:off x="1888435" y="4447761"/>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1"/>
    <xdr:sp macro="" textlink="">
      <xdr:nvSpPr>
        <xdr:cNvPr id="811" name="AutoShape 244" descr="+">
          <a:extLst>
            <a:ext uri="{FF2B5EF4-FFF2-40B4-BE49-F238E27FC236}">
              <a16:creationId xmlns:a16="http://schemas.microsoft.com/office/drawing/2014/main" id="{AD18408B-C31A-4E0E-BE32-675D52B350CA}"/>
            </a:ext>
          </a:extLst>
        </xdr:cNvPr>
        <xdr:cNvSpPr>
          <a:spLocks noChangeAspect="1" noChangeArrowheads="1"/>
        </xdr:cNvSpPr>
      </xdr:nvSpPr>
      <xdr:spPr bwMode="auto">
        <a:xfrm>
          <a:off x="1888435" y="4447761"/>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0"/>
    <xdr:sp macro="" textlink="">
      <xdr:nvSpPr>
        <xdr:cNvPr id="812" name="AutoShape 245" descr="+">
          <a:extLst>
            <a:ext uri="{FF2B5EF4-FFF2-40B4-BE49-F238E27FC236}">
              <a16:creationId xmlns:a16="http://schemas.microsoft.com/office/drawing/2014/main" id="{1047EB9E-C53E-4DA0-9912-1EF067DED69C}"/>
            </a:ext>
          </a:extLst>
        </xdr:cNvPr>
        <xdr:cNvSpPr>
          <a:spLocks noChangeAspect="1" noChangeArrowheads="1"/>
        </xdr:cNvSpPr>
      </xdr:nvSpPr>
      <xdr:spPr bwMode="auto">
        <a:xfrm>
          <a:off x="1888435" y="4447761"/>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76492"/>
    <xdr:sp macro="" textlink="">
      <xdr:nvSpPr>
        <xdr:cNvPr id="813" name="AutoShape 246" descr="+">
          <a:extLst>
            <a:ext uri="{FF2B5EF4-FFF2-40B4-BE49-F238E27FC236}">
              <a16:creationId xmlns:a16="http://schemas.microsoft.com/office/drawing/2014/main" id="{4AD39705-099A-4332-BA35-5710F6AAE0E2}"/>
            </a:ext>
          </a:extLst>
        </xdr:cNvPr>
        <xdr:cNvSpPr>
          <a:spLocks noChangeAspect="1" noChangeArrowheads="1"/>
        </xdr:cNvSpPr>
      </xdr:nvSpPr>
      <xdr:spPr bwMode="auto">
        <a:xfrm>
          <a:off x="1888435" y="4447761"/>
          <a:ext cx="304800" cy="1764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71731"/>
    <xdr:sp macro="" textlink="">
      <xdr:nvSpPr>
        <xdr:cNvPr id="814" name="AutoShape 247" descr="+">
          <a:extLst>
            <a:ext uri="{FF2B5EF4-FFF2-40B4-BE49-F238E27FC236}">
              <a16:creationId xmlns:a16="http://schemas.microsoft.com/office/drawing/2014/main" id="{80C4952E-46C5-4B2C-9F6B-AC86C5D52812}"/>
            </a:ext>
          </a:extLst>
        </xdr:cNvPr>
        <xdr:cNvSpPr>
          <a:spLocks noChangeAspect="1" noChangeArrowheads="1"/>
        </xdr:cNvSpPr>
      </xdr:nvSpPr>
      <xdr:spPr bwMode="auto">
        <a:xfrm>
          <a:off x="1888435" y="4447761"/>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81938"/>
    <xdr:sp macro="" textlink="">
      <xdr:nvSpPr>
        <xdr:cNvPr id="815" name="AutoShape 248" descr="+">
          <a:extLst>
            <a:ext uri="{FF2B5EF4-FFF2-40B4-BE49-F238E27FC236}">
              <a16:creationId xmlns:a16="http://schemas.microsoft.com/office/drawing/2014/main" id="{9B84A0B6-0E68-4150-A162-315AEEBB1A5D}"/>
            </a:ext>
          </a:extLst>
        </xdr:cNvPr>
        <xdr:cNvSpPr>
          <a:spLocks noChangeAspect="1" noChangeArrowheads="1"/>
        </xdr:cNvSpPr>
      </xdr:nvSpPr>
      <xdr:spPr bwMode="auto">
        <a:xfrm>
          <a:off x="1888435" y="4447761"/>
          <a:ext cx="304800" cy="1819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71731"/>
    <xdr:sp macro="" textlink="">
      <xdr:nvSpPr>
        <xdr:cNvPr id="816" name="AutoShape 249" descr="+">
          <a:extLst>
            <a:ext uri="{FF2B5EF4-FFF2-40B4-BE49-F238E27FC236}">
              <a16:creationId xmlns:a16="http://schemas.microsoft.com/office/drawing/2014/main" id="{6947233B-C78B-4B81-9CAB-6DF975A4B4DF}"/>
            </a:ext>
          </a:extLst>
        </xdr:cNvPr>
        <xdr:cNvSpPr>
          <a:spLocks noChangeAspect="1" noChangeArrowheads="1"/>
        </xdr:cNvSpPr>
      </xdr:nvSpPr>
      <xdr:spPr bwMode="auto">
        <a:xfrm>
          <a:off x="1888435" y="4447761"/>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0"/>
    <xdr:sp macro="" textlink="">
      <xdr:nvSpPr>
        <xdr:cNvPr id="817" name="AutoShape 250" descr="+">
          <a:extLst>
            <a:ext uri="{FF2B5EF4-FFF2-40B4-BE49-F238E27FC236}">
              <a16:creationId xmlns:a16="http://schemas.microsoft.com/office/drawing/2014/main" id="{86DD72AF-2895-422C-94FB-2DB850999491}"/>
            </a:ext>
          </a:extLst>
        </xdr:cNvPr>
        <xdr:cNvSpPr>
          <a:spLocks noChangeAspect="1" noChangeArrowheads="1"/>
        </xdr:cNvSpPr>
      </xdr:nvSpPr>
      <xdr:spPr bwMode="auto">
        <a:xfrm>
          <a:off x="1888435" y="4447761"/>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1"/>
    <xdr:sp macro="" textlink="">
      <xdr:nvSpPr>
        <xdr:cNvPr id="818" name="AutoShape 251" descr="+">
          <a:extLst>
            <a:ext uri="{FF2B5EF4-FFF2-40B4-BE49-F238E27FC236}">
              <a16:creationId xmlns:a16="http://schemas.microsoft.com/office/drawing/2014/main" id="{AF0DF95A-FA7B-4C02-A65E-E23994C5F418}"/>
            </a:ext>
          </a:extLst>
        </xdr:cNvPr>
        <xdr:cNvSpPr>
          <a:spLocks noChangeAspect="1" noChangeArrowheads="1"/>
        </xdr:cNvSpPr>
      </xdr:nvSpPr>
      <xdr:spPr bwMode="auto">
        <a:xfrm>
          <a:off x="1888435" y="4447761"/>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09"/>
    <xdr:sp macro="" textlink="">
      <xdr:nvSpPr>
        <xdr:cNvPr id="819" name="AutoShape 252" descr="+">
          <a:extLst>
            <a:ext uri="{FF2B5EF4-FFF2-40B4-BE49-F238E27FC236}">
              <a16:creationId xmlns:a16="http://schemas.microsoft.com/office/drawing/2014/main" id="{D233F90A-613F-4A2E-8D45-49EC7B1A5457}"/>
            </a:ext>
          </a:extLst>
        </xdr:cNvPr>
        <xdr:cNvSpPr>
          <a:spLocks noChangeAspect="1" noChangeArrowheads="1"/>
        </xdr:cNvSpPr>
      </xdr:nvSpPr>
      <xdr:spPr bwMode="auto">
        <a:xfrm>
          <a:off x="1888435" y="4447761"/>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81937"/>
    <xdr:sp macro="" textlink="">
      <xdr:nvSpPr>
        <xdr:cNvPr id="820" name="AutoShape 253" descr="+">
          <a:extLst>
            <a:ext uri="{FF2B5EF4-FFF2-40B4-BE49-F238E27FC236}">
              <a16:creationId xmlns:a16="http://schemas.microsoft.com/office/drawing/2014/main" id="{77FBC763-0145-4AF1-B292-9FD8449B5C1A}"/>
            </a:ext>
          </a:extLst>
        </xdr:cNvPr>
        <xdr:cNvSpPr>
          <a:spLocks noChangeAspect="1" noChangeArrowheads="1"/>
        </xdr:cNvSpPr>
      </xdr:nvSpPr>
      <xdr:spPr bwMode="auto">
        <a:xfrm>
          <a:off x="1888435" y="4447761"/>
          <a:ext cx="304800" cy="18193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1"/>
    <xdr:sp macro="" textlink="">
      <xdr:nvSpPr>
        <xdr:cNvPr id="821" name="AutoShape 254" descr="+">
          <a:extLst>
            <a:ext uri="{FF2B5EF4-FFF2-40B4-BE49-F238E27FC236}">
              <a16:creationId xmlns:a16="http://schemas.microsoft.com/office/drawing/2014/main" id="{BE927A75-BD10-42BF-A690-71DF70BFCC34}"/>
            </a:ext>
          </a:extLst>
        </xdr:cNvPr>
        <xdr:cNvSpPr>
          <a:spLocks noChangeAspect="1" noChangeArrowheads="1"/>
        </xdr:cNvSpPr>
      </xdr:nvSpPr>
      <xdr:spPr bwMode="auto">
        <a:xfrm>
          <a:off x="1888435" y="4447761"/>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1"/>
    <xdr:sp macro="" textlink="">
      <xdr:nvSpPr>
        <xdr:cNvPr id="822" name="AutoShape 255" descr="+">
          <a:extLst>
            <a:ext uri="{FF2B5EF4-FFF2-40B4-BE49-F238E27FC236}">
              <a16:creationId xmlns:a16="http://schemas.microsoft.com/office/drawing/2014/main" id="{993FEB7A-308C-49C0-B256-5783AD5880C1}"/>
            </a:ext>
          </a:extLst>
        </xdr:cNvPr>
        <xdr:cNvSpPr>
          <a:spLocks noChangeAspect="1" noChangeArrowheads="1"/>
        </xdr:cNvSpPr>
      </xdr:nvSpPr>
      <xdr:spPr bwMode="auto">
        <a:xfrm>
          <a:off x="1888435" y="4447761"/>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0"/>
    <xdr:sp macro="" textlink="">
      <xdr:nvSpPr>
        <xdr:cNvPr id="823" name="AutoShape 256" descr="+">
          <a:extLst>
            <a:ext uri="{FF2B5EF4-FFF2-40B4-BE49-F238E27FC236}">
              <a16:creationId xmlns:a16="http://schemas.microsoft.com/office/drawing/2014/main" id="{E3C6F355-67E1-49D1-9F45-FA50D58C5F25}"/>
            </a:ext>
          </a:extLst>
        </xdr:cNvPr>
        <xdr:cNvSpPr>
          <a:spLocks noChangeAspect="1" noChangeArrowheads="1"/>
        </xdr:cNvSpPr>
      </xdr:nvSpPr>
      <xdr:spPr bwMode="auto">
        <a:xfrm>
          <a:off x="1888435" y="4447761"/>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2"/>
    <xdr:sp macro="" textlink="">
      <xdr:nvSpPr>
        <xdr:cNvPr id="824" name="AutoShape 257" descr="+">
          <a:extLst>
            <a:ext uri="{FF2B5EF4-FFF2-40B4-BE49-F238E27FC236}">
              <a16:creationId xmlns:a16="http://schemas.microsoft.com/office/drawing/2014/main" id="{2739FDC6-3762-43ED-ACC9-1398BE1A6AB0}"/>
            </a:ext>
          </a:extLst>
        </xdr:cNvPr>
        <xdr:cNvSpPr>
          <a:spLocks noChangeAspect="1" noChangeArrowheads="1"/>
        </xdr:cNvSpPr>
      </xdr:nvSpPr>
      <xdr:spPr bwMode="auto">
        <a:xfrm>
          <a:off x="1888435" y="4447761"/>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71328"/>
    <xdr:sp macro="" textlink="">
      <xdr:nvSpPr>
        <xdr:cNvPr id="825" name="AutoShape 258" descr="+">
          <a:extLst>
            <a:ext uri="{FF2B5EF4-FFF2-40B4-BE49-F238E27FC236}">
              <a16:creationId xmlns:a16="http://schemas.microsoft.com/office/drawing/2014/main" id="{B697FCA5-4772-47C0-A3C6-9C0DC3F2C1F6}"/>
            </a:ext>
          </a:extLst>
        </xdr:cNvPr>
        <xdr:cNvSpPr>
          <a:spLocks noChangeAspect="1" noChangeArrowheads="1"/>
        </xdr:cNvSpPr>
      </xdr:nvSpPr>
      <xdr:spPr bwMode="auto">
        <a:xfrm>
          <a:off x="1888435" y="4447761"/>
          <a:ext cx="304800" cy="27132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81937"/>
    <xdr:sp macro="" textlink="">
      <xdr:nvSpPr>
        <xdr:cNvPr id="826" name="AutoShape 259" descr="+">
          <a:extLst>
            <a:ext uri="{FF2B5EF4-FFF2-40B4-BE49-F238E27FC236}">
              <a16:creationId xmlns:a16="http://schemas.microsoft.com/office/drawing/2014/main" id="{2A2395EF-E6B3-4082-BD01-C57AD8A51884}"/>
            </a:ext>
          </a:extLst>
        </xdr:cNvPr>
        <xdr:cNvSpPr>
          <a:spLocks noChangeAspect="1" noChangeArrowheads="1"/>
        </xdr:cNvSpPr>
      </xdr:nvSpPr>
      <xdr:spPr bwMode="auto">
        <a:xfrm>
          <a:off x="1888435" y="4447761"/>
          <a:ext cx="304800" cy="18193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386"/>
    <xdr:sp macro="" textlink="">
      <xdr:nvSpPr>
        <xdr:cNvPr id="827" name="AutoShape 260" descr="+">
          <a:extLst>
            <a:ext uri="{FF2B5EF4-FFF2-40B4-BE49-F238E27FC236}">
              <a16:creationId xmlns:a16="http://schemas.microsoft.com/office/drawing/2014/main" id="{974EB9A9-B450-4F29-8D4C-B8CA759C3382}"/>
            </a:ext>
          </a:extLst>
        </xdr:cNvPr>
        <xdr:cNvSpPr>
          <a:spLocks noChangeAspect="1" noChangeArrowheads="1"/>
        </xdr:cNvSpPr>
      </xdr:nvSpPr>
      <xdr:spPr bwMode="auto">
        <a:xfrm>
          <a:off x="1888435" y="4447761"/>
          <a:ext cx="304800" cy="30438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0"/>
    <xdr:sp macro="" textlink="">
      <xdr:nvSpPr>
        <xdr:cNvPr id="828" name="AutoShape 261" descr="+">
          <a:extLst>
            <a:ext uri="{FF2B5EF4-FFF2-40B4-BE49-F238E27FC236}">
              <a16:creationId xmlns:a16="http://schemas.microsoft.com/office/drawing/2014/main" id="{D123B60F-31D8-461C-B5FF-1F52FBF7FD45}"/>
            </a:ext>
          </a:extLst>
        </xdr:cNvPr>
        <xdr:cNvSpPr>
          <a:spLocks noChangeAspect="1" noChangeArrowheads="1"/>
        </xdr:cNvSpPr>
      </xdr:nvSpPr>
      <xdr:spPr bwMode="auto">
        <a:xfrm>
          <a:off x="1888435" y="4447761"/>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2"/>
    <xdr:sp macro="" textlink="">
      <xdr:nvSpPr>
        <xdr:cNvPr id="829" name="AutoShape 262" descr="+">
          <a:extLst>
            <a:ext uri="{FF2B5EF4-FFF2-40B4-BE49-F238E27FC236}">
              <a16:creationId xmlns:a16="http://schemas.microsoft.com/office/drawing/2014/main" id="{3E7A2D3E-2C31-496B-A39A-867154C17A34}"/>
            </a:ext>
          </a:extLst>
        </xdr:cNvPr>
        <xdr:cNvSpPr>
          <a:spLocks noChangeAspect="1" noChangeArrowheads="1"/>
        </xdr:cNvSpPr>
      </xdr:nvSpPr>
      <xdr:spPr bwMode="auto">
        <a:xfrm>
          <a:off x="1888435" y="4447761"/>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65329"/>
    <xdr:sp macro="" textlink="">
      <xdr:nvSpPr>
        <xdr:cNvPr id="830" name="AutoShape 263" descr="+">
          <a:extLst>
            <a:ext uri="{FF2B5EF4-FFF2-40B4-BE49-F238E27FC236}">
              <a16:creationId xmlns:a16="http://schemas.microsoft.com/office/drawing/2014/main" id="{528F4C73-3E1C-4BD3-9976-8EB758DAFDA5}"/>
            </a:ext>
          </a:extLst>
        </xdr:cNvPr>
        <xdr:cNvSpPr>
          <a:spLocks noChangeAspect="1" noChangeArrowheads="1"/>
        </xdr:cNvSpPr>
      </xdr:nvSpPr>
      <xdr:spPr bwMode="auto">
        <a:xfrm>
          <a:off x="1888435" y="4447761"/>
          <a:ext cx="304800" cy="1653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65328"/>
    <xdr:sp macro="" textlink="">
      <xdr:nvSpPr>
        <xdr:cNvPr id="831" name="AutoShape 264" descr="+">
          <a:extLst>
            <a:ext uri="{FF2B5EF4-FFF2-40B4-BE49-F238E27FC236}">
              <a16:creationId xmlns:a16="http://schemas.microsoft.com/office/drawing/2014/main" id="{2F85A723-6279-4811-9A78-9FB5F98D495E}"/>
            </a:ext>
          </a:extLst>
        </xdr:cNvPr>
        <xdr:cNvSpPr>
          <a:spLocks noChangeAspect="1" noChangeArrowheads="1"/>
        </xdr:cNvSpPr>
      </xdr:nvSpPr>
      <xdr:spPr bwMode="auto">
        <a:xfrm>
          <a:off x="1888435" y="4447761"/>
          <a:ext cx="304800" cy="16532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04111"/>
    <xdr:sp macro="" textlink="">
      <xdr:nvSpPr>
        <xdr:cNvPr id="832" name="AutoShape 265" descr="+">
          <a:extLst>
            <a:ext uri="{FF2B5EF4-FFF2-40B4-BE49-F238E27FC236}">
              <a16:creationId xmlns:a16="http://schemas.microsoft.com/office/drawing/2014/main" id="{FD5FC8F9-7959-4801-B9A5-4CB63C767017}"/>
            </a:ext>
          </a:extLst>
        </xdr:cNvPr>
        <xdr:cNvSpPr>
          <a:spLocks noChangeAspect="1" noChangeArrowheads="1"/>
        </xdr:cNvSpPr>
      </xdr:nvSpPr>
      <xdr:spPr bwMode="auto">
        <a:xfrm>
          <a:off x="1888435" y="4447761"/>
          <a:ext cx="304800" cy="2041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04106"/>
    <xdr:sp macro="" textlink="">
      <xdr:nvSpPr>
        <xdr:cNvPr id="833" name="AutoShape 266" descr="+">
          <a:extLst>
            <a:ext uri="{FF2B5EF4-FFF2-40B4-BE49-F238E27FC236}">
              <a16:creationId xmlns:a16="http://schemas.microsoft.com/office/drawing/2014/main" id="{3184B63D-7CDC-4816-8F20-D346D456C052}"/>
            </a:ext>
          </a:extLst>
        </xdr:cNvPr>
        <xdr:cNvSpPr>
          <a:spLocks noChangeAspect="1" noChangeArrowheads="1"/>
        </xdr:cNvSpPr>
      </xdr:nvSpPr>
      <xdr:spPr bwMode="auto">
        <a:xfrm>
          <a:off x="1888435" y="4447761"/>
          <a:ext cx="304800" cy="20410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04108"/>
    <xdr:sp macro="" textlink="">
      <xdr:nvSpPr>
        <xdr:cNvPr id="834" name="AutoShape 267" descr="+">
          <a:extLst>
            <a:ext uri="{FF2B5EF4-FFF2-40B4-BE49-F238E27FC236}">
              <a16:creationId xmlns:a16="http://schemas.microsoft.com/office/drawing/2014/main" id="{E8536FBB-32C2-4092-89EE-463A13645EC9}"/>
            </a:ext>
          </a:extLst>
        </xdr:cNvPr>
        <xdr:cNvSpPr>
          <a:spLocks noChangeAspect="1" noChangeArrowheads="1"/>
        </xdr:cNvSpPr>
      </xdr:nvSpPr>
      <xdr:spPr bwMode="auto">
        <a:xfrm>
          <a:off x="1888435" y="4447761"/>
          <a:ext cx="304800" cy="20410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04111"/>
    <xdr:sp macro="" textlink="">
      <xdr:nvSpPr>
        <xdr:cNvPr id="835" name="AutoShape 268" descr="+">
          <a:extLst>
            <a:ext uri="{FF2B5EF4-FFF2-40B4-BE49-F238E27FC236}">
              <a16:creationId xmlns:a16="http://schemas.microsoft.com/office/drawing/2014/main" id="{E9C74ABE-58B1-4FD4-BE53-AE26700BBBD1}"/>
            </a:ext>
          </a:extLst>
        </xdr:cNvPr>
        <xdr:cNvSpPr>
          <a:spLocks noChangeAspect="1" noChangeArrowheads="1"/>
        </xdr:cNvSpPr>
      </xdr:nvSpPr>
      <xdr:spPr bwMode="auto">
        <a:xfrm>
          <a:off x="1888435" y="4447761"/>
          <a:ext cx="304800" cy="2041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04109"/>
    <xdr:sp macro="" textlink="">
      <xdr:nvSpPr>
        <xdr:cNvPr id="836" name="AutoShape 269" descr="+">
          <a:extLst>
            <a:ext uri="{FF2B5EF4-FFF2-40B4-BE49-F238E27FC236}">
              <a16:creationId xmlns:a16="http://schemas.microsoft.com/office/drawing/2014/main" id="{EC2DE87E-5089-45A0-928E-E710A0A96D57}"/>
            </a:ext>
          </a:extLst>
        </xdr:cNvPr>
        <xdr:cNvSpPr>
          <a:spLocks noChangeAspect="1" noChangeArrowheads="1"/>
        </xdr:cNvSpPr>
      </xdr:nvSpPr>
      <xdr:spPr bwMode="auto">
        <a:xfrm>
          <a:off x="1888435" y="4447761"/>
          <a:ext cx="304800" cy="2041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04109"/>
    <xdr:sp macro="" textlink="">
      <xdr:nvSpPr>
        <xdr:cNvPr id="837" name="AutoShape 270" descr="+">
          <a:extLst>
            <a:ext uri="{FF2B5EF4-FFF2-40B4-BE49-F238E27FC236}">
              <a16:creationId xmlns:a16="http://schemas.microsoft.com/office/drawing/2014/main" id="{C064E9BE-A6A7-4EEA-9C2B-C3FEE638ED6A}"/>
            </a:ext>
          </a:extLst>
        </xdr:cNvPr>
        <xdr:cNvSpPr>
          <a:spLocks noChangeAspect="1" noChangeArrowheads="1"/>
        </xdr:cNvSpPr>
      </xdr:nvSpPr>
      <xdr:spPr bwMode="auto">
        <a:xfrm>
          <a:off x="1888435" y="4447761"/>
          <a:ext cx="304800" cy="2041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8468"/>
    <xdr:sp macro="" textlink="">
      <xdr:nvSpPr>
        <xdr:cNvPr id="838" name="AutoShape 271" descr="+">
          <a:extLst>
            <a:ext uri="{FF2B5EF4-FFF2-40B4-BE49-F238E27FC236}">
              <a16:creationId xmlns:a16="http://schemas.microsoft.com/office/drawing/2014/main" id="{0EF2868A-972F-4579-91EB-52A8480F0367}"/>
            </a:ext>
          </a:extLst>
        </xdr:cNvPr>
        <xdr:cNvSpPr>
          <a:spLocks noChangeAspect="1" noChangeArrowheads="1"/>
        </xdr:cNvSpPr>
      </xdr:nvSpPr>
      <xdr:spPr bwMode="auto">
        <a:xfrm>
          <a:off x="1888435" y="4447761"/>
          <a:ext cx="304800" cy="30846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04109"/>
    <xdr:sp macro="" textlink="">
      <xdr:nvSpPr>
        <xdr:cNvPr id="839" name="AutoShape 272" descr="+">
          <a:extLst>
            <a:ext uri="{FF2B5EF4-FFF2-40B4-BE49-F238E27FC236}">
              <a16:creationId xmlns:a16="http://schemas.microsoft.com/office/drawing/2014/main" id="{A57B204D-5F18-490F-BE60-1F5478A3560D}"/>
            </a:ext>
          </a:extLst>
        </xdr:cNvPr>
        <xdr:cNvSpPr>
          <a:spLocks noChangeAspect="1" noChangeArrowheads="1"/>
        </xdr:cNvSpPr>
      </xdr:nvSpPr>
      <xdr:spPr bwMode="auto">
        <a:xfrm>
          <a:off x="1888435" y="4447761"/>
          <a:ext cx="304800" cy="2041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71731"/>
    <xdr:sp macro="" textlink="">
      <xdr:nvSpPr>
        <xdr:cNvPr id="840" name="AutoShape 273" descr="+">
          <a:extLst>
            <a:ext uri="{FF2B5EF4-FFF2-40B4-BE49-F238E27FC236}">
              <a16:creationId xmlns:a16="http://schemas.microsoft.com/office/drawing/2014/main" id="{88B69A03-791A-40F4-B3FB-D759F60C5815}"/>
            </a:ext>
          </a:extLst>
        </xdr:cNvPr>
        <xdr:cNvSpPr>
          <a:spLocks noChangeAspect="1" noChangeArrowheads="1"/>
        </xdr:cNvSpPr>
      </xdr:nvSpPr>
      <xdr:spPr bwMode="auto">
        <a:xfrm>
          <a:off x="1888435" y="4447761"/>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71731"/>
    <xdr:sp macro="" textlink="">
      <xdr:nvSpPr>
        <xdr:cNvPr id="841" name="AutoShape 274" descr="+">
          <a:extLst>
            <a:ext uri="{FF2B5EF4-FFF2-40B4-BE49-F238E27FC236}">
              <a16:creationId xmlns:a16="http://schemas.microsoft.com/office/drawing/2014/main" id="{76C139F1-3013-49A1-9F86-69BEDAD971ED}"/>
            </a:ext>
          </a:extLst>
        </xdr:cNvPr>
        <xdr:cNvSpPr>
          <a:spLocks noChangeAspect="1" noChangeArrowheads="1"/>
        </xdr:cNvSpPr>
      </xdr:nvSpPr>
      <xdr:spPr bwMode="auto">
        <a:xfrm>
          <a:off x="1888435" y="4447761"/>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85297"/>
    <xdr:sp macro="" textlink="">
      <xdr:nvSpPr>
        <xdr:cNvPr id="842" name="AutoShape 275" descr="+">
          <a:extLst>
            <a:ext uri="{FF2B5EF4-FFF2-40B4-BE49-F238E27FC236}">
              <a16:creationId xmlns:a16="http://schemas.microsoft.com/office/drawing/2014/main" id="{30C972F1-C7A7-4600-B360-B5B4FB225BE7}"/>
            </a:ext>
          </a:extLst>
        </xdr:cNvPr>
        <xdr:cNvSpPr>
          <a:spLocks noChangeAspect="1" noChangeArrowheads="1"/>
        </xdr:cNvSpPr>
      </xdr:nvSpPr>
      <xdr:spPr bwMode="auto">
        <a:xfrm>
          <a:off x="1888435" y="4447761"/>
          <a:ext cx="304800" cy="18529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71731"/>
    <xdr:sp macro="" textlink="">
      <xdr:nvSpPr>
        <xdr:cNvPr id="843" name="AutoShape 276" descr="+">
          <a:extLst>
            <a:ext uri="{FF2B5EF4-FFF2-40B4-BE49-F238E27FC236}">
              <a16:creationId xmlns:a16="http://schemas.microsoft.com/office/drawing/2014/main" id="{5A63CF9E-AE94-47C0-9EF4-C75594816903}"/>
            </a:ext>
          </a:extLst>
        </xdr:cNvPr>
        <xdr:cNvSpPr>
          <a:spLocks noChangeAspect="1" noChangeArrowheads="1"/>
        </xdr:cNvSpPr>
      </xdr:nvSpPr>
      <xdr:spPr bwMode="auto">
        <a:xfrm>
          <a:off x="1888435" y="4447761"/>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09"/>
    <xdr:sp macro="" textlink="">
      <xdr:nvSpPr>
        <xdr:cNvPr id="844" name="AutoShape 277" descr="+">
          <a:extLst>
            <a:ext uri="{FF2B5EF4-FFF2-40B4-BE49-F238E27FC236}">
              <a16:creationId xmlns:a16="http://schemas.microsoft.com/office/drawing/2014/main" id="{A75BBD4C-16B9-44D2-836A-38B58CD9B0F2}"/>
            </a:ext>
          </a:extLst>
        </xdr:cNvPr>
        <xdr:cNvSpPr>
          <a:spLocks noChangeAspect="1" noChangeArrowheads="1"/>
        </xdr:cNvSpPr>
      </xdr:nvSpPr>
      <xdr:spPr bwMode="auto">
        <a:xfrm>
          <a:off x="1888435" y="4447761"/>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1"/>
    <xdr:sp macro="" textlink="">
      <xdr:nvSpPr>
        <xdr:cNvPr id="845" name="AutoShape 278" descr="+">
          <a:extLst>
            <a:ext uri="{FF2B5EF4-FFF2-40B4-BE49-F238E27FC236}">
              <a16:creationId xmlns:a16="http://schemas.microsoft.com/office/drawing/2014/main" id="{8D00EEC2-6890-4841-A33E-8143EBB0869E}"/>
            </a:ext>
          </a:extLst>
        </xdr:cNvPr>
        <xdr:cNvSpPr>
          <a:spLocks noChangeAspect="1" noChangeArrowheads="1"/>
        </xdr:cNvSpPr>
      </xdr:nvSpPr>
      <xdr:spPr bwMode="auto">
        <a:xfrm>
          <a:off x="1888435" y="4447761"/>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91461"/>
    <xdr:sp macro="" textlink="">
      <xdr:nvSpPr>
        <xdr:cNvPr id="846" name="AutoShape 279" descr="+">
          <a:extLst>
            <a:ext uri="{FF2B5EF4-FFF2-40B4-BE49-F238E27FC236}">
              <a16:creationId xmlns:a16="http://schemas.microsoft.com/office/drawing/2014/main" id="{2BA32A63-99C2-4861-B0CB-14F1B4C619A4}"/>
            </a:ext>
          </a:extLst>
        </xdr:cNvPr>
        <xdr:cNvSpPr>
          <a:spLocks noChangeAspect="1" noChangeArrowheads="1"/>
        </xdr:cNvSpPr>
      </xdr:nvSpPr>
      <xdr:spPr bwMode="auto">
        <a:xfrm>
          <a:off x="1888435" y="4447761"/>
          <a:ext cx="304800" cy="1914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3"/>
    <xdr:sp macro="" textlink="">
      <xdr:nvSpPr>
        <xdr:cNvPr id="847" name="AutoShape 280" descr="+">
          <a:extLst>
            <a:ext uri="{FF2B5EF4-FFF2-40B4-BE49-F238E27FC236}">
              <a16:creationId xmlns:a16="http://schemas.microsoft.com/office/drawing/2014/main" id="{25582FC6-B6A7-4B30-9B97-46D802F58827}"/>
            </a:ext>
          </a:extLst>
        </xdr:cNvPr>
        <xdr:cNvSpPr>
          <a:spLocks noChangeAspect="1" noChangeArrowheads="1"/>
        </xdr:cNvSpPr>
      </xdr:nvSpPr>
      <xdr:spPr bwMode="auto">
        <a:xfrm>
          <a:off x="1888435" y="4447761"/>
          <a:ext cx="304800" cy="2105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0"/>
    <xdr:sp macro="" textlink="">
      <xdr:nvSpPr>
        <xdr:cNvPr id="848" name="AutoShape 281" descr="+">
          <a:extLst>
            <a:ext uri="{FF2B5EF4-FFF2-40B4-BE49-F238E27FC236}">
              <a16:creationId xmlns:a16="http://schemas.microsoft.com/office/drawing/2014/main" id="{2913112A-0AF5-4222-96AB-F95F558AEAC4}"/>
            </a:ext>
          </a:extLst>
        </xdr:cNvPr>
        <xdr:cNvSpPr>
          <a:spLocks noChangeAspect="1" noChangeArrowheads="1"/>
        </xdr:cNvSpPr>
      </xdr:nvSpPr>
      <xdr:spPr bwMode="auto">
        <a:xfrm>
          <a:off x="1888435" y="4447761"/>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08"/>
    <xdr:sp macro="" textlink="">
      <xdr:nvSpPr>
        <xdr:cNvPr id="849" name="AutoShape 282" descr="+">
          <a:extLst>
            <a:ext uri="{FF2B5EF4-FFF2-40B4-BE49-F238E27FC236}">
              <a16:creationId xmlns:a16="http://schemas.microsoft.com/office/drawing/2014/main" id="{98487249-C072-4B8A-895B-91FD95A91E24}"/>
            </a:ext>
          </a:extLst>
        </xdr:cNvPr>
        <xdr:cNvSpPr>
          <a:spLocks noChangeAspect="1" noChangeArrowheads="1"/>
        </xdr:cNvSpPr>
      </xdr:nvSpPr>
      <xdr:spPr bwMode="auto">
        <a:xfrm>
          <a:off x="1888435" y="4447761"/>
          <a:ext cx="304800" cy="21050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2"/>
    <xdr:sp macro="" textlink="">
      <xdr:nvSpPr>
        <xdr:cNvPr id="850" name="AutoShape 283" descr="+">
          <a:extLst>
            <a:ext uri="{FF2B5EF4-FFF2-40B4-BE49-F238E27FC236}">
              <a16:creationId xmlns:a16="http://schemas.microsoft.com/office/drawing/2014/main" id="{57515E90-F52A-4ACD-8A3C-FD1FE38BC7FD}"/>
            </a:ext>
          </a:extLst>
        </xdr:cNvPr>
        <xdr:cNvSpPr>
          <a:spLocks noChangeAspect="1" noChangeArrowheads="1"/>
        </xdr:cNvSpPr>
      </xdr:nvSpPr>
      <xdr:spPr bwMode="auto">
        <a:xfrm>
          <a:off x="1888435" y="4447761"/>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2"/>
    <xdr:sp macro="" textlink="">
      <xdr:nvSpPr>
        <xdr:cNvPr id="851" name="AutoShape 284" descr="+">
          <a:extLst>
            <a:ext uri="{FF2B5EF4-FFF2-40B4-BE49-F238E27FC236}">
              <a16:creationId xmlns:a16="http://schemas.microsoft.com/office/drawing/2014/main" id="{9FE3CC25-1C2E-4E98-BEA9-171AA1C3BA54}"/>
            </a:ext>
          </a:extLst>
        </xdr:cNvPr>
        <xdr:cNvSpPr>
          <a:spLocks noChangeAspect="1" noChangeArrowheads="1"/>
        </xdr:cNvSpPr>
      </xdr:nvSpPr>
      <xdr:spPr bwMode="auto">
        <a:xfrm>
          <a:off x="1888435" y="4447761"/>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81936"/>
    <xdr:sp macro="" textlink="">
      <xdr:nvSpPr>
        <xdr:cNvPr id="852" name="AutoShape 285" descr="+">
          <a:extLst>
            <a:ext uri="{FF2B5EF4-FFF2-40B4-BE49-F238E27FC236}">
              <a16:creationId xmlns:a16="http://schemas.microsoft.com/office/drawing/2014/main" id="{A72AA8DC-2C49-461A-8903-F14D85D24620}"/>
            </a:ext>
          </a:extLst>
        </xdr:cNvPr>
        <xdr:cNvSpPr>
          <a:spLocks noChangeAspect="1" noChangeArrowheads="1"/>
        </xdr:cNvSpPr>
      </xdr:nvSpPr>
      <xdr:spPr bwMode="auto">
        <a:xfrm>
          <a:off x="1888435" y="4447761"/>
          <a:ext cx="304800" cy="18193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00704"/>
    <xdr:sp macro="" textlink="">
      <xdr:nvSpPr>
        <xdr:cNvPr id="853" name="AutoShape 286" descr="+">
          <a:extLst>
            <a:ext uri="{FF2B5EF4-FFF2-40B4-BE49-F238E27FC236}">
              <a16:creationId xmlns:a16="http://schemas.microsoft.com/office/drawing/2014/main" id="{7BEAF315-C9EE-4D9A-B340-D5C3A125D58C}"/>
            </a:ext>
          </a:extLst>
        </xdr:cNvPr>
        <xdr:cNvSpPr>
          <a:spLocks noChangeAspect="1" noChangeArrowheads="1"/>
        </xdr:cNvSpPr>
      </xdr:nvSpPr>
      <xdr:spPr bwMode="auto">
        <a:xfrm>
          <a:off x="1888435" y="4447761"/>
          <a:ext cx="304800" cy="20070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00707"/>
    <xdr:sp macro="" textlink="">
      <xdr:nvSpPr>
        <xdr:cNvPr id="854" name="AutoShape 287" descr="+">
          <a:extLst>
            <a:ext uri="{FF2B5EF4-FFF2-40B4-BE49-F238E27FC236}">
              <a16:creationId xmlns:a16="http://schemas.microsoft.com/office/drawing/2014/main" id="{5177E2F3-D443-42A2-BB28-A165B924E323}"/>
            </a:ext>
          </a:extLst>
        </xdr:cNvPr>
        <xdr:cNvSpPr>
          <a:spLocks noChangeAspect="1" noChangeArrowheads="1"/>
        </xdr:cNvSpPr>
      </xdr:nvSpPr>
      <xdr:spPr bwMode="auto">
        <a:xfrm>
          <a:off x="1888435" y="4447761"/>
          <a:ext cx="304800" cy="20070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04107"/>
    <xdr:sp macro="" textlink="">
      <xdr:nvSpPr>
        <xdr:cNvPr id="855" name="AutoShape 288" descr="+">
          <a:extLst>
            <a:ext uri="{FF2B5EF4-FFF2-40B4-BE49-F238E27FC236}">
              <a16:creationId xmlns:a16="http://schemas.microsoft.com/office/drawing/2014/main" id="{76E526C8-28B4-4ED5-B239-A9D745C31846}"/>
            </a:ext>
          </a:extLst>
        </xdr:cNvPr>
        <xdr:cNvSpPr>
          <a:spLocks noChangeAspect="1" noChangeArrowheads="1"/>
        </xdr:cNvSpPr>
      </xdr:nvSpPr>
      <xdr:spPr bwMode="auto">
        <a:xfrm>
          <a:off x="1888435" y="4447761"/>
          <a:ext cx="304800" cy="20410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71730"/>
    <xdr:sp macro="" textlink="">
      <xdr:nvSpPr>
        <xdr:cNvPr id="856" name="AutoShape 289" descr="+">
          <a:extLst>
            <a:ext uri="{FF2B5EF4-FFF2-40B4-BE49-F238E27FC236}">
              <a16:creationId xmlns:a16="http://schemas.microsoft.com/office/drawing/2014/main" id="{C902C61B-A3A2-423D-AB08-5AD569EAD9AF}"/>
            </a:ext>
          </a:extLst>
        </xdr:cNvPr>
        <xdr:cNvSpPr>
          <a:spLocks noChangeAspect="1" noChangeArrowheads="1"/>
        </xdr:cNvSpPr>
      </xdr:nvSpPr>
      <xdr:spPr bwMode="auto">
        <a:xfrm>
          <a:off x="1888435" y="4447761"/>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2"/>
    <xdr:sp macro="" textlink="">
      <xdr:nvSpPr>
        <xdr:cNvPr id="857" name="AutoShape 290" descr="+">
          <a:extLst>
            <a:ext uri="{FF2B5EF4-FFF2-40B4-BE49-F238E27FC236}">
              <a16:creationId xmlns:a16="http://schemas.microsoft.com/office/drawing/2014/main" id="{FBB9BAE3-338E-4EA8-A841-44B9299409F4}"/>
            </a:ext>
          </a:extLst>
        </xdr:cNvPr>
        <xdr:cNvSpPr>
          <a:spLocks noChangeAspect="1" noChangeArrowheads="1"/>
        </xdr:cNvSpPr>
      </xdr:nvSpPr>
      <xdr:spPr bwMode="auto">
        <a:xfrm>
          <a:off x="1888435" y="4447761"/>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1"/>
    <xdr:sp macro="" textlink="">
      <xdr:nvSpPr>
        <xdr:cNvPr id="858" name="AutoShape 291" descr="+">
          <a:extLst>
            <a:ext uri="{FF2B5EF4-FFF2-40B4-BE49-F238E27FC236}">
              <a16:creationId xmlns:a16="http://schemas.microsoft.com/office/drawing/2014/main" id="{4CC651E6-9BD2-4265-B337-D6FF5BF7BFE6}"/>
            </a:ext>
          </a:extLst>
        </xdr:cNvPr>
        <xdr:cNvSpPr>
          <a:spLocks noChangeAspect="1" noChangeArrowheads="1"/>
        </xdr:cNvSpPr>
      </xdr:nvSpPr>
      <xdr:spPr bwMode="auto">
        <a:xfrm>
          <a:off x="1888435" y="4447761"/>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2"/>
    <xdr:sp macro="" textlink="">
      <xdr:nvSpPr>
        <xdr:cNvPr id="859" name="AutoShape 292" descr="+">
          <a:extLst>
            <a:ext uri="{FF2B5EF4-FFF2-40B4-BE49-F238E27FC236}">
              <a16:creationId xmlns:a16="http://schemas.microsoft.com/office/drawing/2014/main" id="{C285D2B8-7AC1-40B1-9AC5-79CA9DD6CDAE}"/>
            </a:ext>
          </a:extLst>
        </xdr:cNvPr>
        <xdr:cNvSpPr>
          <a:spLocks noChangeAspect="1" noChangeArrowheads="1"/>
        </xdr:cNvSpPr>
      </xdr:nvSpPr>
      <xdr:spPr bwMode="auto">
        <a:xfrm>
          <a:off x="1888435" y="4447761"/>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09"/>
    <xdr:sp macro="" textlink="">
      <xdr:nvSpPr>
        <xdr:cNvPr id="860" name="AutoShape 293" descr="+">
          <a:extLst>
            <a:ext uri="{FF2B5EF4-FFF2-40B4-BE49-F238E27FC236}">
              <a16:creationId xmlns:a16="http://schemas.microsoft.com/office/drawing/2014/main" id="{87424BC9-9859-4F34-A8FE-CFC974FC0369}"/>
            </a:ext>
          </a:extLst>
        </xdr:cNvPr>
        <xdr:cNvSpPr>
          <a:spLocks noChangeAspect="1" noChangeArrowheads="1"/>
        </xdr:cNvSpPr>
      </xdr:nvSpPr>
      <xdr:spPr bwMode="auto">
        <a:xfrm>
          <a:off x="1888435" y="4447761"/>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2"/>
    <xdr:sp macro="" textlink="">
      <xdr:nvSpPr>
        <xdr:cNvPr id="861" name="AutoShape 294" descr="+">
          <a:extLst>
            <a:ext uri="{FF2B5EF4-FFF2-40B4-BE49-F238E27FC236}">
              <a16:creationId xmlns:a16="http://schemas.microsoft.com/office/drawing/2014/main" id="{7050CAAF-6FD1-4FA5-9DB4-D913FADCC065}"/>
            </a:ext>
          </a:extLst>
        </xdr:cNvPr>
        <xdr:cNvSpPr>
          <a:spLocks noChangeAspect="1" noChangeArrowheads="1"/>
        </xdr:cNvSpPr>
      </xdr:nvSpPr>
      <xdr:spPr bwMode="auto">
        <a:xfrm>
          <a:off x="1888435" y="4447761"/>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664"/>
    <xdr:sp macro="" textlink="">
      <xdr:nvSpPr>
        <xdr:cNvPr id="862" name="AutoShape 295" descr="+">
          <a:extLst>
            <a:ext uri="{FF2B5EF4-FFF2-40B4-BE49-F238E27FC236}">
              <a16:creationId xmlns:a16="http://schemas.microsoft.com/office/drawing/2014/main" id="{749BCB45-18A6-4C71-86F0-33594DBFAA02}"/>
            </a:ext>
          </a:extLst>
        </xdr:cNvPr>
        <xdr:cNvSpPr>
          <a:spLocks noChangeAspect="1" noChangeArrowheads="1"/>
        </xdr:cNvSpPr>
      </xdr:nvSpPr>
      <xdr:spPr bwMode="auto">
        <a:xfrm>
          <a:off x="1888435" y="4447761"/>
          <a:ext cx="304800" cy="30466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181938"/>
    <xdr:sp macro="" textlink="">
      <xdr:nvSpPr>
        <xdr:cNvPr id="863" name="AutoShape 296" descr="+">
          <a:extLst>
            <a:ext uri="{FF2B5EF4-FFF2-40B4-BE49-F238E27FC236}">
              <a16:creationId xmlns:a16="http://schemas.microsoft.com/office/drawing/2014/main" id="{E4E036E0-F10B-45EC-8120-5B9BFBD10B02}"/>
            </a:ext>
          </a:extLst>
        </xdr:cNvPr>
        <xdr:cNvSpPr>
          <a:spLocks noChangeAspect="1" noChangeArrowheads="1"/>
        </xdr:cNvSpPr>
      </xdr:nvSpPr>
      <xdr:spPr bwMode="auto">
        <a:xfrm>
          <a:off x="1888435" y="4447761"/>
          <a:ext cx="304800" cy="1819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6063"/>
    <xdr:sp macro="" textlink="">
      <xdr:nvSpPr>
        <xdr:cNvPr id="864" name="AutoShape 297" descr="+">
          <a:extLst>
            <a:ext uri="{FF2B5EF4-FFF2-40B4-BE49-F238E27FC236}">
              <a16:creationId xmlns:a16="http://schemas.microsoft.com/office/drawing/2014/main" id="{51A29828-0A77-4102-8FA9-2DE753E2F762}"/>
            </a:ext>
          </a:extLst>
        </xdr:cNvPr>
        <xdr:cNvSpPr>
          <a:spLocks noChangeAspect="1" noChangeArrowheads="1"/>
        </xdr:cNvSpPr>
      </xdr:nvSpPr>
      <xdr:spPr bwMode="auto">
        <a:xfrm>
          <a:off x="1888435" y="4447761"/>
          <a:ext cx="304800" cy="30606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210512"/>
    <xdr:sp macro="" textlink="">
      <xdr:nvSpPr>
        <xdr:cNvPr id="865" name="AutoShape 298" descr="+">
          <a:extLst>
            <a:ext uri="{FF2B5EF4-FFF2-40B4-BE49-F238E27FC236}">
              <a16:creationId xmlns:a16="http://schemas.microsoft.com/office/drawing/2014/main" id="{4756686F-1D31-42F8-A9DE-CF148087C38C}"/>
            </a:ext>
          </a:extLst>
        </xdr:cNvPr>
        <xdr:cNvSpPr>
          <a:spLocks noChangeAspect="1" noChangeArrowheads="1"/>
        </xdr:cNvSpPr>
      </xdr:nvSpPr>
      <xdr:spPr bwMode="auto">
        <a:xfrm>
          <a:off x="1888435" y="4447761"/>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1496786</xdr:colOff>
      <xdr:row>8</xdr:row>
      <xdr:rowOff>0</xdr:rowOff>
    </xdr:from>
    <xdr:ext cx="304800" cy="166687"/>
    <xdr:sp macro="" textlink="">
      <xdr:nvSpPr>
        <xdr:cNvPr id="867" name="AutoShape 80" descr="+">
          <a:extLst>
            <a:ext uri="{FF2B5EF4-FFF2-40B4-BE49-F238E27FC236}">
              <a16:creationId xmlns:a16="http://schemas.microsoft.com/office/drawing/2014/main" id="{924B87E4-9561-4DE4-9EDA-CCACFE4FD70B}"/>
            </a:ext>
          </a:extLst>
        </xdr:cNvPr>
        <xdr:cNvSpPr>
          <a:spLocks noChangeAspect="1" noChangeArrowheads="1"/>
        </xdr:cNvSpPr>
      </xdr:nvSpPr>
      <xdr:spPr bwMode="auto">
        <a:xfrm>
          <a:off x="3385221" y="4447761"/>
          <a:ext cx="304800" cy="1666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71731"/>
    <xdr:sp macro="" textlink="">
      <xdr:nvSpPr>
        <xdr:cNvPr id="866" name="AutoShape 4" descr="+">
          <a:extLst>
            <a:ext uri="{FF2B5EF4-FFF2-40B4-BE49-F238E27FC236}">
              <a16:creationId xmlns:a16="http://schemas.microsoft.com/office/drawing/2014/main" id="{638B5041-C85C-441B-ABD5-8DDF004BDC72}"/>
            </a:ext>
          </a:extLst>
        </xdr:cNvPr>
        <xdr:cNvSpPr>
          <a:spLocks noChangeAspect="1" noChangeArrowheads="1"/>
        </xdr:cNvSpPr>
      </xdr:nvSpPr>
      <xdr:spPr bwMode="auto">
        <a:xfrm>
          <a:off x="2294283" y="4977848"/>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71730"/>
    <xdr:sp macro="" textlink="">
      <xdr:nvSpPr>
        <xdr:cNvPr id="868" name="AutoShape 5" descr="+">
          <a:extLst>
            <a:ext uri="{FF2B5EF4-FFF2-40B4-BE49-F238E27FC236}">
              <a16:creationId xmlns:a16="http://schemas.microsoft.com/office/drawing/2014/main" id="{141D8040-F899-4780-8159-3FE98A314269}"/>
            </a:ext>
          </a:extLst>
        </xdr:cNvPr>
        <xdr:cNvSpPr>
          <a:spLocks noChangeAspect="1" noChangeArrowheads="1"/>
        </xdr:cNvSpPr>
      </xdr:nvSpPr>
      <xdr:spPr bwMode="auto">
        <a:xfrm>
          <a:off x="2294283" y="4977848"/>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01707"/>
    <xdr:sp macro="" textlink="">
      <xdr:nvSpPr>
        <xdr:cNvPr id="869" name="AutoShape 6" descr="+">
          <a:extLst>
            <a:ext uri="{FF2B5EF4-FFF2-40B4-BE49-F238E27FC236}">
              <a16:creationId xmlns:a16="http://schemas.microsoft.com/office/drawing/2014/main" id="{175A2817-D489-4492-A152-301EC24E41AA}"/>
            </a:ext>
          </a:extLst>
        </xdr:cNvPr>
        <xdr:cNvSpPr>
          <a:spLocks noChangeAspect="1" noChangeArrowheads="1"/>
        </xdr:cNvSpPr>
      </xdr:nvSpPr>
      <xdr:spPr bwMode="auto">
        <a:xfrm>
          <a:off x="2294283" y="4977848"/>
          <a:ext cx="304800" cy="20170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74665"/>
    <xdr:sp macro="" textlink="">
      <xdr:nvSpPr>
        <xdr:cNvPr id="870" name="AutoShape 7" descr="+">
          <a:extLst>
            <a:ext uri="{FF2B5EF4-FFF2-40B4-BE49-F238E27FC236}">
              <a16:creationId xmlns:a16="http://schemas.microsoft.com/office/drawing/2014/main" id="{F73883E1-B7FB-47A5-B9AC-D88549213A53}"/>
            </a:ext>
          </a:extLst>
        </xdr:cNvPr>
        <xdr:cNvSpPr>
          <a:spLocks noChangeAspect="1" noChangeArrowheads="1"/>
        </xdr:cNvSpPr>
      </xdr:nvSpPr>
      <xdr:spPr bwMode="auto">
        <a:xfrm>
          <a:off x="2294283" y="4977848"/>
          <a:ext cx="304800" cy="17466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01708"/>
    <xdr:sp macro="" textlink="">
      <xdr:nvSpPr>
        <xdr:cNvPr id="871" name="AutoShape 8" descr="+">
          <a:extLst>
            <a:ext uri="{FF2B5EF4-FFF2-40B4-BE49-F238E27FC236}">
              <a16:creationId xmlns:a16="http://schemas.microsoft.com/office/drawing/2014/main" id="{CDA7A1ED-AB5C-4E12-BA33-77EFDE544F68}"/>
            </a:ext>
          </a:extLst>
        </xdr:cNvPr>
        <xdr:cNvSpPr>
          <a:spLocks noChangeAspect="1" noChangeArrowheads="1"/>
        </xdr:cNvSpPr>
      </xdr:nvSpPr>
      <xdr:spPr bwMode="auto">
        <a:xfrm>
          <a:off x="2294283" y="4977848"/>
          <a:ext cx="304800" cy="20170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01705"/>
    <xdr:sp macro="" textlink="">
      <xdr:nvSpPr>
        <xdr:cNvPr id="872" name="AutoShape 9" descr="+">
          <a:extLst>
            <a:ext uri="{FF2B5EF4-FFF2-40B4-BE49-F238E27FC236}">
              <a16:creationId xmlns:a16="http://schemas.microsoft.com/office/drawing/2014/main" id="{10B976EA-3C92-47AB-BCE7-727F898BBCBE}"/>
            </a:ext>
          </a:extLst>
        </xdr:cNvPr>
        <xdr:cNvSpPr>
          <a:spLocks noChangeAspect="1" noChangeArrowheads="1"/>
        </xdr:cNvSpPr>
      </xdr:nvSpPr>
      <xdr:spPr bwMode="auto">
        <a:xfrm>
          <a:off x="2294283" y="4977848"/>
          <a:ext cx="304800" cy="20170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01708"/>
    <xdr:sp macro="" textlink="">
      <xdr:nvSpPr>
        <xdr:cNvPr id="873" name="AutoShape 10" descr="+">
          <a:extLst>
            <a:ext uri="{FF2B5EF4-FFF2-40B4-BE49-F238E27FC236}">
              <a16:creationId xmlns:a16="http://schemas.microsoft.com/office/drawing/2014/main" id="{7D1CF251-F265-4D75-A7CC-69AE9A04EEF8}"/>
            </a:ext>
          </a:extLst>
        </xdr:cNvPr>
        <xdr:cNvSpPr>
          <a:spLocks noChangeAspect="1" noChangeArrowheads="1"/>
        </xdr:cNvSpPr>
      </xdr:nvSpPr>
      <xdr:spPr bwMode="auto">
        <a:xfrm>
          <a:off x="2294283" y="4977848"/>
          <a:ext cx="304800" cy="20170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92180"/>
    <xdr:sp macro="" textlink="">
      <xdr:nvSpPr>
        <xdr:cNvPr id="874" name="AutoShape 11" descr="+">
          <a:extLst>
            <a:ext uri="{FF2B5EF4-FFF2-40B4-BE49-F238E27FC236}">
              <a16:creationId xmlns:a16="http://schemas.microsoft.com/office/drawing/2014/main" id="{F7C10F6A-AD9D-482E-AB83-FDABC115E4FA}"/>
            </a:ext>
          </a:extLst>
        </xdr:cNvPr>
        <xdr:cNvSpPr>
          <a:spLocks noChangeAspect="1" noChangeArrowheads="1"/>
        </xdr:cNvSpPr>
      </xdr:nvSpPr>
      <xdr:spPr bwMode="auto">
        <a:xfrm>
          <a:off x="2294283" y="4977848"/>
          <a:ext cx="304800" cy="19218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70133"/>
    <xdr:sp macro="" textlink="">
      <xdr:nvSpPr>
        <xdr:cNvPr id="875" name="AutoShape 12" descr="+">
          <a:extLst>
            <a:ext uri="{FF2B5EF4-FFF2-40B4-BE49-F238E27FC236}">
              <a16:creationId xmlns:a16="http://schemas.microsoft.com/office/drawing/2014/main" id="{252C248C-77C3-4748-BD4A-DAD8B7A680CB}"/>
            </a:ext>
          </a:extLst>
        </xdr:cNvPr>
        <xdr:cNvSpPr>
          <a:spLocks noChangeAspect="1" noChangeArrowheads="1"/>
        </xdr:cNvSpPr>
      </xdr:nvSpPr>
      <xdr:spPr bwMode="auto">
        <a:xfrm>
          <a:off x="2294283" y="4977848"/>
          <a:ext cx="304800" cy="27013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73131"/>
    <xdr:sp macro="" textlink="">
      <xdr:nvSpPr>
        <xdr:cNvPr id="876" name="AutoShape 13" descr="+">
          <a:extLst>
            <a:ext uri="{FF2B5EF4-FFF2-40B4-BE49-F238E27FC236}">
              <a16:creationId xmlns:a16="http://schemas.microsoft.com/office/drawing/2014/main" id="{C34ED8F2-3C31-47A3-8FA8-F68FB1C2DF84}"/>
            </a:ext>
          </a:extLst>
        </xdr:cNvPr>
        <xdr:cNvSpPr>
          <a:spLocks noChangeAspect="1" noChangeArrowheads="1"/>
        </xdr:cNvSpPr>
      </xdr:nvSpPr>
      <xdr:spPr bwMode="auto">
        <a:xfrm>
          <a:off x="2294283" y="4977848"/>
          <a:ext cx="304800" cy="1731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01708"/>
    <xdr:sp macro="" textlink="">
      <xdr:nvSpPr>
        <xdr:cNvPr id="877" name="AutoShape 14" descr="+">
          <a:extLst>
            <a:ext uri="{FF2B5EF4-FFF2-40B4-BE49-F238E27FC236}">
              <a16:creationId xmlns:a16="http://schemas.microsoft.com/office/drawing/2014/main" id="{7595D145-23EE-4FE7-8F77-158EBF9CC234}"/>
            </a:ext>
          </a:extLst>
        </xdr:cNvPr>
        <xdr:cNvSpPr>
          <a:spLocks noChangeAspect="1" noChangeArrowheads="1"/>
        </xdr:cNvSpPr>
      </xdr:nvSpPr>
      <xdr:spPr bwMode="auto">
        <a:xfrm>
          <a:off x="2294283" y="4977848"/>
          <a:ext cx="304800" cy="20170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01705"/>
    <xdr:sp macro="" textlink="">
      <xdr:nvSpPr>
        <xdr:cNvPr id="878" name="AutoShape 15" descr="+">
          <a:extLst>
            <a:ext uri="{FF2B5EF4-FFF2-40B4-BE49-F238E27FC236}">
              <a16:creationId xmlns:a16="http://schemas.microsoft.com/office/drawing/2014/main" id="{6917867B-1688-4F1C-A210-F2D48E19E0A0}"/>
            </a:ext>
          </a:extLst>
        </xdr:cNvPr>
        <xdr:cNvSpPr>
          <a:spLocks noChangeAspect="1" noChangeArrowheads="1"/>
        </xdr:cNvSpPr>
      </xdr:nvSpPr>
      <xdr:spPr bwMode="auto">
        <a:xfrm>
          <a:off x="2294283" y="4977848"/>
          <a:ext cx="304800" cy="20170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91901"/>
    <xdr:sp macro="" textlink="">
      <xdr:nvSpPr>
        <xdr:cNvPr id="879" name="AutoShape 16" descr="+">
          <a:extLst>
            <a:ext uri="{FF2B5EF4-FFF2-40B4-BE49-F238E27FC236}">
              <a16:creationId xmlns:a16="http://schemas.microsoft.com/office/drawing/2014/main" id="{64E05C77-A2C1-4A7F-89A3-7969E235501F}"/>
            </a:ext>
          </a:extLst>
        </xdr:cNvPr>
        <xdr:cNvSpPr>
          <a:spLocks noChangeAspect="1" noChangeArrowheads="1"/>
        </xdr:cNvSpPr>
      </xdr:nvSpPr>
      <xdr:spPr bwMode="auto">
        <a:xfrm>
          <a:off x="2294283" y="4977848"/>
          <a:ext cx="304800" cy="1919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78133"/>
    <xdr:sp macro="" textlink="">
      <xdr:nvSpPr>
        <xdr:cNvPr id="880" name="AutoShape 17" descr="+">
          <a:extLst>
            <a:ext uri="{FF2B5EF4-FFF2-40B4-BE49-F238E27FC236}">
              <a16:creationId xmlns:a16="http://schemas.microsoft.com/office/drawing/2014/main" id="{84A9D2BE-2D80-4633-97B0-EF6ACD907E2D}"/>
            </a:ext>
          </a:extLst>
        </xdr:cNvPr>
        <xdr:cNvSpPr>
          <a:spLocks noChangeAspect="1" noChangeArrowheads="1"/>
        </xdr:cNvSpPr>
      </xdr:nvSpPr>
      <xdr:spPr bwMode="auto">
        <a:xfrm>
          <a:off x="2294283" y="4977848"/>
          <a:ext cx="304800" cy="17813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78135"/>
    <xdr:sp macro="" textlink="">
      <xdr:nvSpPr>
        <xdr:cNvPr id="881" name="AutoShape 18" descr="+">
          <a:extLst>
            <a:ext uri="{FF2B5EF4-FFF2-40B4-BE49-F238E27FC236}">
              <a16:creationId xmlns:a16="http://schemas.microsoft.com/office/drawing/2014/main" id="{5C6B65E5-D74F-4C50-86E8-ED6F456ED82A}"/>
            </a:ext>
          </a:extLst>
        </xdr:cNvPr>
        <xdr:cNvSpPr>
          <a:spLocks noChangeAspect="1" noChangeArrowheads="1"/>
        </xdr:cNvSpPr>
      </xdr:nvSpPr>
      <xdr:spPr bwMode="auto">
        <a:xfrm>
          <a:off x="2294283" y="4977848"/>
          <a:ext cx="304800" cy="17813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79535"/>
    <xdr:sp macro="" textlink="">
      <xdr:nvSpPr>
        <xdr:cNvPr id="882" name="AutoShape 19" descr="+">
          <a:extLst>
            <a:ext uri="{FF2B5EF4-FFF2-40B4-BE49-F238E27FC236}">
              <a16:creationId xmlns:a16="http://schemas.microsoft.com/office/drawing/2014/main" id="{698531FB-21E2-499B-BA9F-33A07B3F547F}"/>
            </a:ext>
          </a:extLst>
        </xdr:cNvPr>
        <xdr:cNvSpPr>
          <a:spLocks noChangeAspect="1" noChangeArrowheads="1"/>
        </xdr:cNvSpPr>
      </xdr:nvSpPr>
      <xdr:spPr bwMode="auto">
        <a:xfrm>
          <a:off x="2294283" y="4977848"/>
          <a:ext cx="304800" cy="17953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78132"/>
    <xdr:sp macro="" textlink="">
      <xdr:nvSpPr>
        <xdr:cNvPr id="883" name="AutoShape 20" descr="+">
          <a:extLst>
            <a:ext uri="{FF2B5EF4-FFF2-40B4-BE49-F238E27FC236}">
              <a16:creationId xmlns:a16="http://schemas.microsoft.com/office/drawing/2014/main" id="{6E8FF2B4-D9D4-4482-B94F-189C726B8CF3}"/>
            </a:ext>
          </a:extLst>
        </xdr:cNvPr>
        <xdr:cNvSpPr>
          <a:spLocks noChangeAspect="1" noChangeArrowheads="1"/>
        </xdr:cNvSpPr>
      </xdr:nvSpPr>
      <xdr:spPr bwMode="auto">
        <a:xfrm>
          <a:off x="2294283" y="4977848"/>
          <a:ext cx="304800" cy="17813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08112"/>
    <xdr:sp macro="" textlink="">
      <xdr:nvSpPr>
        <xdr:cNvPr id="884" name="AutoShape 21" descr="+">
          <a:extLst>
            <a:ext uri="{FF2B5EF4-FFF2-40B4-BE49-F238E27FC236}">
              <a16:creationId xmlns:a16="http://schemas.microsoft.com/office/drawing/2014/main" id="{4E255201-33B5-496B-AD83-2B12837A80EA}"/>
            </a:ext>
          </a:extLst>
        </xdr:cNvPr>
        <xdr:cNvSpPr>
          <a:spLocks noChangeAspect="1" noChangeArrowheads="1"/>
        </xdr:cNvSpPr>
      </xdr:nvSpPr>
      <xdr:spPr bwMode="auto">
        <a:xfrm>
          <a:off x="2294283" y="4977848"/>
          <a:ext cx="304800" cy="2081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08107"/>
    <xdr:sp macro="" textlink="">
      <xdr:nvSpPr>
        <xdr:cNvPr id="885" name="AutoShape 22" descr="+">
          <a:extLst>
            <a:ext uri="{FF2B5EF4-FFF2-40B4-BE49-F238E27FC236}">
              <a16:creationId xmlns:a16="http://schemas.microsoft.com/office/drawing/2014/main" id="{A7083444-B933-4ABA-95B4-544B8A4D411D}"/>
            </a:ext>
          </a:extLst>
        </xdr:cNvPr>
        <xdr:cNvSpPr>
          <a:spLocks noChangeAspect="1" noChangeArrowheads="1"/>
        </xdr:cNvSpPr>
      </xdr:nvSpPr>
      <xdr:spPr bwMode="auto">
        <a:xfrm>
          <a:off x="2294283" y="4977848"/>
          <a:ext cx="304800" cy="20810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08111"/>
    <xdr:sp macro="" textlink="">
      <xdr:nvSpPr>
        <xdr:cNvPr id="886" name="AutoShape 23" descr="+">
          <a:extLst>
            <a:ext uri="{FF2B5EF4-FFF2-40B4-BE49-F238E27FC236}">
              <a16:creationId xmlns:a16="http://schemas.microsoft.com/office/drawing/2014/main" id="{7B6930BF-E6A8-4845-B7B2-0206A59F3103}"/>
            </a:ext>
          </a:extLst>
        </xdr:cNvPr>
        <xdr:cNvSpPr>
          <a:spLocks noChangeAspect="1" noChangeArrowheads="1"/>
        </xdr:cNvSpPr>
      </xdr:nvSpPr>
      <xdr:spPr bwMode="auto">
        <a:xfrm>
          <a:off x="2294283" y="4977848"/>
          <a:ext cx="304800" cy="2081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98584"/>
    <xdr:sp macro="" textlink="">
      <xdr:nvSpPr>
        <xdr:cNvPr id="887" name="AutoShape 24" descr="+">
          <a:extLst>
            <a:ext uri="{FF2B5EF4-FFF2-40B4-BE49-F238E27FC236}">
              <a16:creationId xmlns:a16="http://schemas.microsoft.com/office/drawing/2014/main" id="{137C7694-E8D5-426E-B3AA-06DEB9918300}"/>
            </a:ext>
          </a:extLst>
        </xdr:cNvPr>
        <xdr:cNvSpPr>
          <a:spLocks noChangeAspect="1" noChangeArrowheads="1"/>
        </xdr:cNvSpPr>
      </xdr:nvSpPr>
      <xdr:spPr bwMode="auto">
        <a:xfrm>
          <a:off x="2294283" y="4977848"/>
          <a:ext cx="304800" cy="19858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08110"/>
    <xdr:sp macro="" textlink="">
      <xdr:nvSpPr>
        <xdr:cNvPr id="888" name="AutoShape 25" descr="+">
          <a:extLst>
            <a:ext uri="{FF2B5EF4-FFF2-40B4-BE49-F238E27FC236}">
              <a16:creationId xmlns:a16="http://schemas.microsoft.com/office/drawing/2014/main" id="{42C18A3B-9D80-4309-8A73-B2E2023621CC}"/>
            </a:ext>
          </a:extLst>
        </xdr:cNvPr>
        <xdr:cNvSpPr>
          <a:spLocks noChangeAspect="1" noChangeArrowheads="1"/>
        </xdr:cNvSpPr>
      </xdr:nvSpPr>
      <xdr:spPr bwMode="auto">
        <a:xfrm>
          <a:off x="2294283" y="4977848"/>
          <a:ext cx="304800" cy="2081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08110"/>
    <xdr:sp macro="" textlink="">
      <xdr:nvSpPr>
        <xdr:cNvPr id="889" name="AutoShape 26" descr="+">
          <a:extLst>
            <a:ext uri="{FF2B5EF4-FFF2-40B4-BE49-F238E27FC236}">
              <a16:creationId xmlns:a16="http://schemas.microsoft.com/office/drawing/2014/main" id="{BBB0B189-3829-43C7-8F21-8E2BE66B0047}"/>
            </a:ext>
          </a:extLst>
        </xdr:cNvPr>
        <xdr:cNvSpPr>
          <a:spLocks noChangeAspect="1" noChangeArrowheads="1"/>
        </xdr:cNvSpPr>
      </xdr:nvSpPr>
      <xdr:spPr bwMode="auto">
        <a:xfrm>
          <a:off x="2294283" y="4977848"/>
          <a:ext cx="304800" cy="2081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79535"/>
    <xdr:sp macro="" textlink="">
      <xdr:nvSpPr>
        <xdr:cNvPr id="890" name="AutoShape 27" descr="+">
          <a:extLst>
            <a:ext uri="{FF2B5EF4-FFF2-40B4-BE49-F238E27FC236}">
              <a16:creationId xmlns:a16="http://schemas.microsoft.com/office/drawing/2014/main" id="{BAD52370-6A05-4D4F-BD5E-10507A3CD0FF}"/>
            </a:ext>
          </a:extLst>
        </xdr:cNvPr>
        <xdr:cNvSpPr>
          <a:spLocks noChangeAspect="1" noChangeArrowheads="1"/>
        </xdr:cNvSpPr>
      </xdr:nvSpPr>
      <xdr:spPr bwMode="auto">
        <a:xfrm>
          <a:off x="2294283" y="4977848"/>
          <a:ext cx="304800" cy="17953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08107"/>
    <xdr:sp macro="" textlink="">
      <xdr:nvSpPr>
        <xdr:cNvPr id="891" name="AutoShape 28" descr="+">
          <a:extLst>
            <a:ext uri="{FF2B5EF4-FFF2-40B4-BE49-F238E27FC236}">
              <a16:creationId xmlns:a16="http://schemas.microsoft.com/office/drawing/2014/main" id="{38A6ED13-B151-47B3-B65F-7990AC6A897A}"/>
            </a:ext>
          </a:extLst>
        </xdr:cNvPr>
        <xdr:cNvSpPr>
          <a:spLocks noChangeAspect="1" noChangeArrowheads="1"/>
        </xdr:cNvSpPr>
      </xdr:nvSpPr>
      <xdr:spPr bwMode="auto">
        <a:xfrm>
          <a:off x="2294283" y="4977848"/>
          <a:ext cx="304800" cy="20810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01711"/>
    <xdr:sp macro="" textlink="">
      <xdr:nvSpPr>
        <xdr:cNvPr id="892" name="AutoShape 29" descr="+">
          <a:extLst>
            <a:ext uri="{FF2B5EF4-FFF2-40B4-BE49-F238E27FC236}">
              <a16:creationId xmlns:a16="http://schemas.microsoft.com/office/drawing/2014/main" id="{78A82D90-5EBD-49EA-9331-DFED3523D624}"/>
            </a:ext>
          </a:extLst>
        </xdr:cNvPr>
        <xdr:cNvSpPr>
          <a:spLocks noChangeAspect="1" noChangeArrowheads="1"/>
        </xdr:cNvSpPr>
      </xdr:nvSpPr>
      <xdr:spPr bwMode="auto">
        <a:xfrm>
          <a:off x="2294283" y="4977848"/>
          <a:ext cx="304800" cy="2017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71731"/>
    <xdr:sp macro="" textlink="">
      <xdr:nvSpPr>
        <xdr:cNvPr id="893" name="AutoShape 30" descr="+">
          <a:extLst>
            <a:ext uri="{FF2B5EF4-FFF2-40B4-BE49-F238E27FC236}">
              <a16:creationId xmlns:a16="http://schemas.microsoft.com/office/drawing/2014/main" id="{8A9C64A9-1142-4868-B0A6-8665988E1B12}"/>
            </a:ext>
          </a:extLst>
        </xdr:cNvPr>
        <xdr:cNvSpPr>
          <a:spLocks noChangeAspect="1" noChangeArrowheads="1"/>
        </xdr:cNvSpPr>
      </xdr:nvSpPr>
      <xdr:spPr bwMode="auto">
        <a:xfrm>
          <a:off x="2294283" y="4977848"/>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71730"/>
    <xdr:sp macro="" textlink="">
      <xdr:nvSpPr>
        <xdr:cNvPr id="894" name="AutoShape 31" descr="+">
          <a:extLst>
            <a:ext uri="{FF2B5EF4-FFF2-40B4-BE49-F238E27FC236}">
              <a16:creationId xmlns:a16="http://schemas.microsoft.com/office/drawing/2014/main" id="{C20268A6-816D-4A15-AE5B-E00880E08A23}"/>
            </a:ext>
          </a:extLst>
        </xdr:cNvPr>
        <xdr:cNvSpPr>
          <a:spLocks noChangeAspect="1" noChangeArrowheads="1"/>
        </xdr:cNvSpPr>
      </xdr:nvSpPr>
      <xdr:spPr bwMode="auto">
        <a:xfrm>
          <a:off x="2294283" y="4977848"/>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0"/>
    <xdr:sp macro="" textlink="">
      <xdr:nvSpPr>
        <xdr:cNvPr id="895" name="AutoShape 32" descr="+">
          <a:extLst>
            <a:ext uri="{FF2B5EF4-FFF2-40B4-BE49-F238E27FC236}">
              <a16:creationId xmlns:a16="http://schemas.microsoft.com/office/drawing/2014/main" id="{BCA11AD0-64BE-40C6-A429-9D8BB6719664}"/>
            </a:ext>
          </a:extLst>
        </xdr:cNvPr>
        <xdr:cNvSpPr>
          <a:spLocks noChangeAspect="1" noChangeArrowheads="1"/>
        </xdr:cNvSpPr>
      </xdr:nvSpPr>
      <xdr:spPr bwMode="auto">
        <a:xfrm>
          <a:off x="2294283" y="4977848"/>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03088"/>
    <xdr:sp macro="" textlink="">
      <xdr:nvSpPr>
        <xdr:cNvPr id="896" name="AutoShape 33" descr="+">
          <a:extLst>
            <a:ext uri="{FF2B5EF4-FFF2-40B4-BE49-F238E27FC236}">
              <a16:creationId xmlns:a16="http://schemas.microsoft.com/office/drawing/2014/main" id="{7422215E-AA8B-4E55-8DBA-997C0A104652}"/>
            </a:ext>
          </a:extLst>
        </xdr:cNvPr>
        <xdr:cNvSpPr>
          <a:spLocks noChangeAspect="1" noChangeArrowheads="1"/>
        </xdr:cNvSpPr>
      </xdr:nvSpPr>
      <xdr:spPr bwMode="auto">
        <a:xfrm>
          <a:off x="2294283" y="4977848"/>
          <a:ext cx="304800" cy="2030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3"/>
    <xdr:sp macro="" textlink="">
      <xdr:nvSpPr>
        <xdr:cNvPr id="897" name="AutoShape 34" descr="+">
          <a:extLst>
            <a:ext uri="{FF2B5EF4-FFF2-40B4-BE49-F238E27FC236}">
              <a16:creationId xmlns:a16="http://schemas.microsoft.com/office/drawing/2014/main" id="{9E6D20F3-3E4D-4BAF-B4D6-B12FB70ABC25}"/>
            </a:ext>
          </a:extLst>
        </xdr:cNvPr>
        <xdr:cNvSpPr>
          <a:spLocks noChangeAspect="1" noChangeArrowheads="1"/>
        </xdr:cNvSpPr>
      </xdr:nvSpPr>
      <xdr:spPr bwMode="auto">
        <a:xfrm>
          <a:off x="2294283" y="4977848"/>
          <a:ext cx="304800" cy="2105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71731"/>
    <xdr:sp macro="" textlink="">
      <xdr:nvSpPr>
        <xdr:cNvPr id="898" name="AutoShape 52" descr="+">
          <a:extLst>
            <a:ext uri="{FF2B5EF4-FFF2-40B4-BE49-F238E27FC236}">
              <a16:creationId xmlns:a16="http://schemas.microsoft.com/office/drawing/2014/main" id="{19F261A7-185E-48ED-A187-63FA583403E5}"/>
            </a:ext>
          </a:extLst>
        </xdr:cNvPr>
        <xdr:cNvSpPr>
          <a:spLocks noChangeAspect="1" noChangeArrowheads="1"/>
        </xdr:cNvSpPr>
      </xdr:nvSpPr>
      <xdr:spPr bwMode="auto">
        <a:xfrm>
          <a:off x="2294283" y="4977848"/>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71730"/>
    <xdr:sp macro="" textlink="">
      <xdr:nvSpPr>
        <xdr:cNvPr id="899" name="AutoShape 53" descr="+">
          <a:extLst>
            <a:ext uri="{FF2B5EF4-FFF2-40B4-BE49-F238E27FC236}">
              <a16:creationId xmlns:a16="http://schemas.microsoft.com/office/drawing/2014/main" id="{DA49EAE7-D41B-4BDB-9BDB-EC4E3A0793EF}"/>
            </a:ext>
          </a:extLst>
        </xdr:cNvPr>
        <xdr:cNvSpPr>
          <a:spLocks noChangeAspect="1" noChangeArrowheads="1"/>
        </xdr:cNvSpPr>
      </xdr:nvSpPr>
      <xdr:spPr bwMode="auto">
        <a:xfrm>
          <a:off x="2294283" y="4977848"/>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86698"/>
    <xdr:sp macro="" textlink="">
      <xdr:nvSpPr>
        <xdr:cNvPr id="900" name="AutoShape 54" descr="+">
          <a:extLst>
            <a:ext uri="{FF2B5EF4-FFF2-40B4-BE49-F238E27FC236}">
              <a16:creationId xmlns:a16="http://schemas.microsoft.com/office/drawing/2014/main" id="{722CF8D9-7A0A-4006-82F3-1F3918671FE2}"/>
            </a:ext>
          </a:extLst>
        </xdr:cNvPr>
        <xdr:cNvSpPr>
          <a:spLocks noChangeAspect="1" noChangeArrowheads="1"/>
        </xdr:cNvSpPr>
      </xdr:nvSpPr>
      <xdr:spPr bwMode="auto">
        <a:xfrm>
          <a:off x="2294283" y="4977848"/>
          <a:ext cx="304800" cy="18669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71731"/>
    <xdr:sp macro="" textlink="">
      <xdr:nvSpPr>
        <xdr:cNvPr id="901" name="AutoShape 55" descr="+">
          <a:extLst>
            <a:ext uri="{FF2B5EF4-FFF2-40B4-BE49-F238E27FC236}">
              <a16:creationId xmlns:a16="http://schemas.microsoft.com/office/drawing/2014/main" id="{DDF8568F-4E27-4BB0-944D-8ED8C2355C5A}"/>
            </a:ext>
          </a:extLst>
        </xdr:cNvPr>
        <xdr:cNvSpPr>
          <a:spLocks noChangeAspect="1" noChangeArrowheads="1"/>
        </xdr:cNvSpPr>
      </xdr:nvSpPr>
      <xdr:spPr bwMode="auto">
        <a:xfrm>
          <a:off x="2294283" y="4977848"/>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1"/>
    <xdr:sp macro="" textlink="">
      <xdr:nvSpPr>
        <xdr:cNvPr id="902" name="AutoShape 56" descr="+">
          <a:extLst>
            <a:ext uri="{FF2B5EF4-FFF2-40B4-BE49-F238E27FC236}">
              <a16:creationId xmlns:a16="http://schemas.microsoft.com/office/drawing/2014/main" id="{CC5A1E57-224A-480C-9DF1-ECCC6A99C391}"/>
            </a:ext>
          </a:extLst>
        </xdr:cNvPr>
        <xdr:cNvSpPr>
          <a:spLocks noChangeAspect="1" noChangeArrowheads="1"/>
        </xdr:cNvSpPr>
      </xdr:nvSpPr>
      <xdr:spPr bwMode="auto">
        <a:xfrm>
          <a:off x="2294283" y="4977848"/>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09"/>
    <xdr:sp macro="" textlink="">
      <xdr:nvSpPr>
        <xdr:cNvPr id="903" name="AutoShape 57" descr="+">
          <a:extLst>
            <a:ext uri="{FF2B5EF4-FFF2-40B4-BE49-F238E27FC236}">
              <a16:creationId xmlns:a16="http://schemas.microsoft.com/office/drawing/2014/main" id="{812A90EA-C1B3-4679-B7FD-410A1C063CD3}"/>
            </a:ext>
          </a:extLst>
        </xdr:cNvPr>
        <xdr:cNvSpPr>
          <a:spLocks noChangeAspect="1" noChangeArrowheads="1"/>
        </xdr:cNvSpPr>
      </xdr:nvSpPr>
      <xdr:spPr bwMode="auto">
        <a:xfrm>
          <a:off x="2294283" y="4977848"/>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2"/>
    <xdr:sp macro="" textlink="">
      <xdr:nvSpPr>
        <xdr:cNvPr id="904" name="AutoShape 58" descr="+">
          <a:extLst>
            <a:ext uri="{FF2B5EF4-FFF2-40B4-BE49-F238E27FC236}">
              <a16:creationId xmlns:a16="http://schemas.microsoft.com/office/drawing/2014/main" id="{AE7F8AFA-D4A5-4406-9172-74598D35AE7B}"/>
            </a:ext>
          </a:extLst>
        </xdr:cNvPr>
        <xdr:cNvSpPr>
          <a:spLocks noChangeAspect="1" noChangeArrowheads="1"/>
        </xdr:cNvSpPr>
      </xdr:nvSpPr>
      <xdr:spPr bwMode="auto">
        <a:xfrm>
          <a:off x="2294283" y="4977848"/>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386"/>
    <xdr:sp macro="" textlink="">
      <xdr:nvSpPr>
        <xdr:cNvPr id="905" name="AutoShape 59" descr="+">
          <a:extLst>
            <a:ext uri="{FF2B5EF4-FFF2-40B4-BE49-F238E27FC236}">
              <a16:creationId xmlns:a16="http://schemas.microsoft.com/office/drawing/2014/main" id="{14C1285B-4D8C-429F-BCFD-52F500D26A59}"/>
            </a:ext>
          </a:extLst>
        </xdr:cNvPr>
        <xdr:cNvSpPr>
          <a:spLocks noChangeAspect="1" noChangeArrowheads="1"/>
        </xdr:cNvSpPr>
      </xdr:nvSpPr>
      <xdr:spPr bwMode="auto">
        <a:xfrm>
          <a:off x="2294283" y="4977848"/>
          <a:ext cx="304800" cy="30438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81937"/>
    <xdr:sp macro="" textlink="">
      <xdr:nvSpPr>
        <xdr:cNvPr id="906" name="AutoShape 60" descr="+">
          <a:extLst>
            <a:ext uri="{FF2B5EF4-FFF2-40B4-BE49-F238E27FC236}">
              <a16:creationId xmlns:a16="http://schemas.microsoft.com/office/drawing/2014/main" id="{1C638A58-AC8C-431D-885C-88C71B6764CE}"/>
            </a:ext>
          </a:extLst>
        </xdr:cNvPr>
        <xdr:cNvSpPr>
          <a:spLocks noChangeAspect="1" noChangeArrowheads="1"/>
        </xdr:cNvSpPr>
      </xdr:nvSpPr>
      <xdr:spPr bwMode="auto">
        <a:xfrm>
          <a:off x="2294283" y="4977848"/>
          <a:ext cx="304800" cy="18193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0"/>
    <xdr:sp macro="" textlink="">
      <xdr:nvSpPr>
        <xdr:cNvPr id="907" name="AutoShape 61" descr="+">
          <a:extLst>
            <a:ext uri="{FF2B5EF4-FFF2-40B4-BE49-F238E27FC236}">
              <a16:creationId xmlns:a16="http://schemas.microsoft.com/office/drawing/2014/main" id="{1F1A95B4-D971-47A5-BDC0-A97A2E0DFD46}"/>
            </a:ext>
          </a:extLst>
        </xdr:cNvPr>
        <xdr:cNvSpPr>
          <a:spLocks noChangeAspect="1" noChangeArrowheads="1"/>
        </xdr:cNvSpPr>
      </xdr:nvSpPr>
      <xdr:spPr bwMode="auto">
        <a:xfrm>
          <a:off x="2294283" y="4977848"/>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1"/>
    <xdr:sp macro="" textlink="">
      <xdr:nvSpPr>
        <xdr:cNvPr id="908" name="AutoShape 62" descr="+">
          <a:extLst>
            <a:ext uri="{FF2B5EF4-FFF2-40B4-BE49-F238E27FC236}">
              <a16:creationId xmlns:a16="http://schemas.microsoft.com/office/drawing/2014/main" id="{8AF3EA12-901B-4E11-8FF2-B21D7635FD83}"/>
            </a:ext>
          </a:extLst>
        </xdr:cNvPr>
        <xdr:cNvSpPr>
          <a:spLocks noChangeAspect="1" noChangeArrowheads="1"/>
        </xdr:cNvSpPr>
      </xdr:nvSpPr>
      <xdr:spPr bwMode="auto">
        <a:xfrm>
          <a:off x="2294283" y="4977848"/>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1"/>
    <xdr:sp macro="" textlink="">
      <xdr:nvSpPr>
        <xdr:cNvPr id="909" name="AutoShape 63" descr="+">
          <a:extLst>
            <a:ext uri="{FF2B5EF4-FFF2-40B4-BE49-F238E27FC236}">
              <a16:creationId xmlns:a16="http://schemas.microsoft.com/office/drawing/2014/main" id="{16442F6B-E79E-4D7B-B088-01DB744521DE}"/>
            </a:ext>
          </a:extLst>
        </xdr:cNvPr>
        <xdr:cNvSpPr>
          <a:spLocks noChangeAspect="1" noChangeArrowheads="1"/>
        </xdr:cNvSpPr>
      </xdr:nvSpPr>
      <xdr:spPr bwMode="auto">
        <a:xfrm>
          <a:off x="2294283" y="4977848"/>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2"/>
    <xdr:sp macro="" textlink="">
      <xdr:nvSpPr>
        <xdr:cNvPr id="910" name="AutoShape 64" descr="+">
          <a:extLst>
            <a:ext uri="{FF2B5EF4-FFF2-40B4-BE49-F238E27FC236}">
              <a16:creationId xmlns:a16="http://schemas.microsoft.com/office/drawing/2014/main" id="{173C24D7-C63F-4AE1-8D4B-548A94431E47}"/>
            </a:ext>
          </a:extLst>
        </xdr:cNvPr>
        <xdr:cNvSpPr>
          <a:spLocks noChangeAspect="1" noChangeArrowheads="1"/>
        </xdr:cNvSpPr>
      </xdr:nvSpPr>
      <xdr:spPr bwMode="auto">
        <a:xfrm>
          <a:off x="2294283" y="4977848"/>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86696"/>
    <xdr:sp macro="" textlink="">
      <xdr:nvSpPr>
        <xdr:cNvPr id="911" name="AutoShape 65" descr="+">
          <a:extLst>
            <a:ext uri="{FF2B5EF4-FFF2-40B4-BE49-F238E27FC236}">
              <a16:creationId xmlns:a16="http://schemas.microsoft.com/office/drawing/2014/main" id="{CCBAB324-8E84-4096-8DE6-631B4DA6C968}"/>
            </a:ext>
          </a:extLst>
        </xdr:cNvPr>
        <xdr:cNvSpPr>
          <a:spLocks noChangeAspect="1" noChangeArrowheads="1"/>
        </xdr:cNvSpPr>
      </xdr:nvSpPr>
      <xdr:spPr bwMode="auto">
        <a:xfrm>
          <a:off x="2294283" y="4977848"/>
          <a:ext cx="304800" cy="18669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2"/>
    <xdr:sp macro="" textlink="">
      <xdr:nvSpPr>
        <xdr:cNvPr id="912" name="AutoShape 66" descr="+">
          <a:extLst>
            <a:ext uri="{FF2B5EF4-FFF2-40B4-BE49-F238E27FC236}">
              <a16:creationId xmlns:a16="http://schemas.microsoft.com/office/drawing/2014/main" id="{B2C3571C-489A-4405-83BF-52A62EA8CBEF}"/>
            </a:ext>
          </a:extLst>
        </xdr:cNvPr>
        <xdr:cNvSpPr>
          <a:spLocks noChangeAspect="1" noChangeArrowheads="1"/>
        </xdr:cNvSpPr>
      </xdr:nvSpPr>
      <xdr:spPr bwMode="auto">
        <a:xfrm>
          <a:off x="2294283" y="4977848"/>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04108"/>
    <xdr:sp macro="" textlink="">
      <xdr:nvSpPr>
        <xdr:cNvPr id="913" name="AutoShape 67" descr="+">
          <a:extLst>
            <a:ext uri="{FF2B5EF4-FFF2-40B4-BE49-F238E27FC236}">
              <a16:creationId xmlns:a16="http://schemas.microsoft.com/office/drawing/2014/main" id="{11B5801F-B474-43E5-BB30-7F34FB9590AD}"/>
            </a:ext>
          </a:extLst>
        </xdr:cNvPr>
        <xdr:cNvSpPr>
          <a:spLocks noChangeAspect="1" noChangeArrowheads="1"/>
        </xdr:cNvSpPr>
      </xdr:nvSpPr>
      <xdr:spPr bwMode="auto">
        <a:xfrm>
          <a:off x="2294283" y="4977848"/>
          <a:ext cx="304800" cy="20410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04108"/>
    <xdr:sp macro="" textlink="">
      <xdr:nvSpPr>
        <xdr:cNvPr id="914" name="AutoShape 68" descr="+">
          <a:extLst>
            <a:ext uri="{FF2B5EF4-FFF2-40B4-BE49-F238E27FC236}">
              <a16:creationId xmlns:a16="http://schemas.microsoft.com/office/drawing/2014/main" id="{C4A8FEC2-6013-41F6-AFC0-CAB53118E90F}"/>
            </a:ext>
          </a:extLst>
        </xdr:cNvPr>
        <xdr:cNvSpPr>
          <a:spLocks noChangeAspect="1" noChangeArrowheads="1"/>
        </xdr:cNvSpPr>
      </xdr:nvSpPr>
      <xdr:spPr bwMode="auto">
        <a:xfrm>
          <a:off x="2294283" y="4977848"/>
          <a:ext cx="304800" cy="20410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71731"/>
    <xdr:sp macro="" textlink="">
      <xdr:nvSpPr>
        <xdr:cNvPr id="915" name="AutoShape 69" descr="+">
          <a:extLst>
            <a:ext uri="{FF2B5EF4-FFF2-40B4-BE49-F238E27FC236}">
              <a16:creationId xmlns:a16="http://schemas.microsoft.com/office/drawing/2014/main" id="{73BE73B8-5B58-4E40-8A62-C255537D10DB}"/>
            </a:ext>
          </a:extLst>
        </xdr:cNvPr>
        <xdr:cNvSpPr>
          <a:spLocks noChangeAspect="1" noChangeArrowheads="1"/>
        </xdr:cNvSpPr>
      </xdr:nvSpPr>
      <xdr:spPr bwMode="auto">
        <a:xfrm>
          <a:off x="2294283" y="4977848"/>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76492"/>
    <xdr:sp macro="" textlink="">
      <xdr:nvSpPr>
        <xdr:cNvPr id="916" name="AutoShape 70" descr="+">
          <a:extLst>
            <a:ext uri="{FF2B5EF4-FFF2-40B4-BE49-F238E27FC236}">
              <a16:creationId xmlns:a16="http://schemas.microsoft.com/office/drawing/2014/main" id="{D6BCE4CF-9435-43EF-83E2-C2886C43DDBD}"/>
            </a:ext>
          </a:extLst>
        </xdr:cNvPr>
        <xdr:cNvSpPr>
          <a:spLocks noChangeAspect="1" noChangeArrowheads="1"/>
        </xdr:cNvSpPr>
      </xdr:nvSpPr>
      <xdr:spPr bwMode="auto">
        <a:xfrm>
          <a:off x="2294283" y="4977848"/>
          <a:ext cx="304800" cy="1764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71732"/>
    <xdr:sp macro="" textlink="">
      <xdr:nvSpPr>
        <xdr:cNvPr id="917" name="AutoShape 71" descr="+">
          <a:extLst>
            <a:ext uri="{FF2B5EF4-FFF2-40B4-BE49-F238E27FC236}">
              <a16:creationId xmlns:a16="http://schemas.microsoft.com/office/drawing/2014/main" id="{2FD28CD2-E26B-4515-9AE4-4DB1064C17F4}"/>
            </a:ext>
          </a:extLst>
        </xdr:cNvPr>
        <xdr:cNvSpPr>
          <a:spLocks noChangeAspect="1" noChangeArrowheads="1"/>
        </xdr:cNvSpPr>
      </xdr:nvSpPr>
      <xdr:spPr bwMode="auto">
        <a:xfrm>
          <a:off x="2294283" y="4977848"/>
          <a:ext cx="304800" cy="17173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09"/>
    <xdr:sp macro="" textlink="">
      <xdr:nvSpPr>
        <xdr:cNvPr id="918" name="AutoShape 72" descr="+">
          <a:extLst>
            <a:ext uri="{FF2B5EF4-FFF2-40B4-BE49-F238E27FC236}">
              <a16:creationId xmlns:a16="http://schemas.microsoft.com/office/drawing/2014/main" id="{480A134E-FF29-4132-B4F9-46C08A4D8960}"/>
            </a:ext>
          </a:extLst>
        </xdr:cNvPr>
        <xdr:cNvSpPr>
          <a:spLocks noChangeAspect="1" noChangeArrowheads="1"/>
        </xdr:cNvSpPr>
      </xdr:nvSpPr>
      <xdr:spPr bwMode="auto">
        <a:xfrm>
          <a:off x="2294283" y="4977848"/>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2"/>
    <xdr:sp macro="" textlink="">
      <xdr:nvSpPr>
        <xdr:cNvPr id="919" name="AutoShape 73" descr="+">
          <a:extLst>
            <a:ext uri="{FF2B5EF4-FFF2-40B4-BE49-F238E27FC236}">
              <a16:creationId xmlns:a16="http://schemas.microsoft.com/office/drawing/2014/main" id="{DC78BECB-334B-46A2-8DDF-ECD06DB718F7}"/>
            </a:ext>
          </a:extLst>
        </xdr:cNvPr>
        <xdr:cNvSpPr>
          <a:spLocks noChangeAspect="1" noChangeArrowheads="1"/>
        </xdr:cNvSpPr>
      </xdr:nvSpPr>
      <xdr:spPr bwMode="auto">
        <a:xfrm>
          <a:off x="2294283" y="4977848"/>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0"/>
    <xdr:sp macro="" textlink="">
      <xdr:nvSpPr>
        <xdr:cNvPr id="920" name="AutoShape 74" descr="+">
          <a:extLst>
            <a:ext uri="{FF2B5EF4-FFF2-40B4-BE49-F238E27FC236}">
              <a16:creationId xmlns:a16="http://schemas.microsoft.com/office/drawing/2014/main" id="{AC8621B8-B2B5-458E-A6CB-F1949DAFDDD5}"/>
            </a:ext>
          </a:extLst>
        </xdr:cNvPr>
        <xdr:cNvSpPr>
          <a:spLocks noChangeAspect="1" noChangeArrowheads="1"/>
        </xdr:cNvSpPr>
      </xdr:nvSpPr>
      <xdr:spPr bwMode="auto">
        <a:xfrm>
          <a:off x="2294283" y="4977848"/>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2"/>
    <xdr:sp macro="" textlink="">
      <xdr:nvSpPr>
        <xdr:cNvPr id="921" name="AutoShape 75" descr="+">
          <a:extLst>
            <a:ext uri="{FF2B5EF4-FFF2-40B4-BE49-F238E27FC236}">
              <a16:creationId xmlns:a16="http://schemas.microsoft.com/office/drawing/2014/main" id="{20014200-32FB-4390-8803-1D6102EB1892}"/>
            </a:ext>
          </a:extLst>
        </xdr:cNvPr>
        <xdr:cNvSpPr>
          <a:spLocks noChangeAspect="1" noChangeArrowheads="1"/>
        </xdr:cNvSpPr>
      </xdr:nvSpPr>
      <xdr:spPr bwMode="auto">
        <a:xfrm>
          <a:off x="2294283" y="4977848"/>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09"/>
    <xdr:sp macro="" textlink="">
      <xdr:nvSpPr>
        <xdr:cNvPr id="922" name="AutoShape 76" descr="+">
          <a:extLst>
            <a:ext uri="{FF2B5EF4-FFF2-40B4-BE49-F238E27FC236}">
              <a16:creationId xmlns:a16="http://schemas.microsoft.com/office/drawing/2014/main" id="{08E1D9A4-6AF5-4B3B-9054-B379317746BA}"/>
            </a:ext>
          </a:extLst>
        </xdr:cNvPr>
        <xdr:cNvSpPr>
          <a:spLocks noChangeAspect="1" noChangeArrowheads="1"/>
        </xdr:cNvSpPr>
      </xdr:nvSpPr>
      <xdr:spPr bwMode="auto">
        <a:xfrm>
          <a:off x="2294283" y="4977848"/>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1"/>
    <xdr:sp macro="" textlink="">
      <xdr:nvSpPr>
        <xdr:cNvPr id="923" name="AutoShape 77" descr="+">
          <a:extLst>
            <a:ext uri="{FF2B5EF4-FFF2-40B4-BE49-F238E27FC236}">
              <a16:creationId xmlns:a16="http://schemas.microsoft.com/office/drawing/2014/main" id="{307EDFFC-A43F-4455-A201-274A26FE933E}"/>
            </a:ext>
          </a:extLst>
        </xdr:cNvPr>
        <xdr:cNvSpPr>
          <a:spLocks noChangeAspect="1" noChangeArrowheads="1"/>
        </xdr:cNvSpPr>
      </xdr:nvSpPr>
      <xdr:spPr bwMode="auto">
        <a:xfrm>
          <a:off x="2294283" y="4977848"/>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09"/>
    <xdr:sp macro="" textlink="">
      <xdr:nvSpPr>
        <xdr:cNvPr id="924" name="AutoShape 78" descr="+">
          <a:extLst>
            <a:ext uri="{FF2B5EF4-FFF2-40B4-BE49-F238E27FC236}">
              <a16:creationId xmlns:a16="http://schemas.microsoft.com/office/drawing/2014/main" id="{831283E0-CED1-41D5-804B-25AED006A7E5}"/>
            </a:ext>
          </a:extLst>
        </xdr:cNvPr>
        <xdr:cNvSpPr>
          <a:spLocks noChangeAspect="1" noChangeArrowheads="1"/>
        </xdr:cNvSpPr>
      </xdr:nvSpPr>
      <xdr:spPr bwMode="auto">
        <a:xfrm>
          <a:off x="2294283" y="4977848"/>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66689"/>
    <xdr:sp macro="" textlink="">
      <xdr:nvSpPr>
        <xdr:cNvPr id="925" name="AutoShape 79" descr="+">
          <a:extLst>
            <a:ext uri="{FF2B5EF4-FFF2-40B4-BE49-F238E27FC236}">
              <a16:creationId xmlns:a16="http://schemas.microsoft.com/office/drawing/2014/main" id="{248FEBBE-A77E-4F47-8EF9-7F4613CCAF4B}"/>
            </a:ext>
          </a:extLst>
        </xdr:cNvPr>
        <xdr:cNvSpPr>
          <a:spLocks noChangeAspect="1" noChangeArrowheads="1"/>
        </xdr:cNvSpPr>
      </xdr:nvSpPr>
      <xdr:spPr bwMode="auto">
        <a:xfrm>
          <a:off x="2294283" y="4977848"/>
          <a:ext cx="304800" cy="1666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66688"/>
    <xdr:sp macro="" textlink="">
      <xdr:nvSpPr>
        <xdr:cNvPr id="926" name="AutoShape 80" descr="+">
          <a:extLst>
            <a:ext uri="{FF2B5EF4-FFF2-40B4-BE49-F238E27FC236}">
              <a16:creationId xmlns:a16="http://schemas.microsoft.com/office/drawing/2014/main" id="{CDC27D41-5550-4960-9E59-E070A66C7616}"/>
            </a:ext>
          </a:extLst>
        </xdr:cNvPr>
        <xdr:cNvSpPr>
          <a:spLocks noChangeAspect="1" noChangeArrowheads="1"/>
        </xdr:cNvSpPr>
      </xdr:nvSpPr>
      <xdr:spPr bwMode="auto">
        <a:xfrm>
          <a:off x="2294283" y="4977848"/>
          <a:ext cx="304800" cy="1666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81655"/>
    <xdr:sp macro="" textlink="">
      <xdr:nvSpPr>
        <xdr:cNvPr id="927" name="AutoShape 81" descr="+">
          <a:extLst>
            <a:ext uri="{FF2B5EF4-FFF2-40B4-BE49-F238E27FC236}">
              <a16:creationId xmlns:a16="http://schemas.microsoft.com/office/drawing/2014/main" id="{A4477C80-5E58-42FC-BAE2-3BDB3C081353}"/>
            </a:ext>
          </a:extLst>
        </xdr:cNvPr>
        <xdr:cNvSpPr>
          <a:spLocks noChangeAspect="1" noChangeArrowheads="1"/>
        </xdr:cNvSpPr>
      </xdr:nvSpPr>
      <xdr:spPr bwMode="auto">
        <a:xfrm>
          <a:off x="2294283" y="4977848"/>
          <a:ext cx="304800" cy="18165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66688"/>
    <xdr:sp macro="" textlink="">
      <xdr:nvSpPr>
        <xdr:cNvPr id="928" name="AutoShape 82" descr="+">
          <a:extLst>
            <a:ext uri="{FF2B5EF4-FFF2-40B4-BE49-F238E27FC236}">
              <a16:creationId xmlns:a16="http://schemas.microsoft.com/office/drawing/2014/main" id="{3EBA9341-7A54-40FF-A97F-6E3903A78C11}"/>
            </a:ext>
          </a:extLst>
        </xdr:cNvPr>
        <xdr:cNvSpPr>
          <a:spLocks noChangeAspect="1" noChangeArrowheads="1"/>
        </xdr:cNvSpPr>
      </xdr:nvSpPr>
      <xdr:spPr bwMode="auto">
        <a:xfrm>
          <a:off x="2294283" y="4977848"/>
          <a:ext cx="304800" cy="1666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05471"/>
    <xdr:sp macro="" textlink="">
      <xdr:nvSpPr>
        <xdr:cNvPr id="929" name="AutoShape 83" descr="+">
          <a:extLst>
            <a:ext uri="{FF2B5EF4-FFF2-40B4-BE49-F238E27FC236}">
              <a16:creationId xmlns:a16="http://schemas.microsoft.com/office/drawing/2014/main" id="{C521AD28-FF87-4AD6-A7AD-F46B821C8550}"/>
            </a:ext>
          </a:extLst>
        </xdr:cNvPr>
        <xdr:cNvSpPr>
          <a:spLocks noChangeAspect="1" noChangeArrowheads="1"/>
        </xdr:cNvSpPr>
      </xdr:nvSpPr>
      <xdr:spPr bwMode="auto">
        <a:xfrm>
          <a:off x="2294283" y="4977848"/>
          <a:ext cx="304800" cy="20547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05469"/>
    <xdr:sp macro="" textlink="">
      <xdr:nvSpPr>
        <xdr:cNvPr id="930" name="AutoShape 84" descr="+">
          <a:extLst>
            <a:ext uri="{FF2B5EF4-FFF2-40B4-BE49-F238E27FC236}">
              <a16:creationId xmlns:a16="http://schemas.microsoft.com/office/drawing/2014/main" id="{CED47707-EBFF-4B4C-A1A9-12E8A1FD94C9}"/>
            </a:ext>
          </a:extLst>
        </xdr:cNvPr>
        <xdr:cNvSpPr>
          <a:spLocks noChangeAspect="1" noChangeArrowheads="1"/>
        </xdr:cNvSpPr>
      </xdr:nvSpPr>
      <xdr:spPr bwMode="auto">
        <a:xfrm>
          <a:off x="2294283" y="4977848"/>
          <a:ext cx="304800" cy="20546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05468"/>
    <xdr:sp macro="" textlink="">
      <xdr:nvSpPr>
        <xdr:cNvPr id="931" name="AutoShape 85" descr="+">
          <a:extLst>
            <a:ext uri="{FF2B5EF4-FFF2-40B4-BE49-F238E27FC236}">
              <a16:creationId xmlns:a16="http://schemas.microsoft.com/office/drawing/2014/main" id="{C4121FF9-F96D-4897-A8C7-6258C139DFA6}"/>
            </a:ext>
          </a:extLst>
        </xdr:cNvPr>
        <xdr:cNvSpPr>
          <a:spLocks noChangeAspect="1" noChangeArrowheads="1"/>
        </xdr:cNvSpPr>
      </xdr:nvSpPr>
      <xdr:spPr bwMode="auto">
        <a:xfrm>
          <a:off x="2294283" y="4977848"/>
          <a:ext cx="304800" cy="20546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66688"/>
    <xdr:sp macro="" textlink="">
      <xdr:nvSpPr>
        <xdr:cNvPr id="932" name="AutoShape 86" descr="+">
          <a:extLst>
            <a:ext uri="{FF2B5EF4-FFF2-40B4-BE49-F238E27FC236}">
              <a16:creationId xmlns:a16="http://schemas.microsoft.com/office/drawing/2014/main" id="{CAAB2B8E-4516-4C4A-91DC-6866136F587F}"/>
            </a:ext>
          </a:extLst>
        </xdr:cNvPr>
        <xdr:cNvSpPr>
          <a:spLocks noChangeAspect="1" noChangeArrowheads="1"/>
        </xdr:cNvSpPr>
      </xdr:nvSpPr>
      <xdr:spPr bwMode="auto">
        <a:xfrm>
          <a:off x="2294283" y="4977848"/>
          <a:ext cx="304800" cy="1666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05469"/>
    <xdr:sp macro="" textlink="">
      <xdr:nvSpPr>
        <xdr:cNvPr id="933" name="AutoShape 87" descr="+">
          <a:extLst>
            <a:ext uri="{FF2B5EF4-FFF2-40B4-BE49-F238E27FC236}">
              <a16:creationId xmlns:a16="http://schemas.microsoft.com/office/drawing/2014/main" id="{3858CF9D-1891-4688-8F69-55308E45F8FB}"/>
            </a:ext>
          </a:extLst>
        </xdr:cNvPr>
        <xdr:cNvSpPr>
          <a:spLocks noChangeAspect="1" noChangeArrowheads="1"/>
        </xdr:cNvSpPr>
      </xdr:nvSpPr>
      <xdr:spPr bwMode="auto">
        <a:xfrm>
          <a:off x="2294283" y="4977848"/>
          <a:ext cx="304800" cy="20546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05469"/>
    <xdr:sp macro="" textlink="">
      <xdr:nvSpPr>
        <xdr:cNvPr id="934" name="AutoShape 88" descr="+">
          <a:extLst>
            <a:ext uri="{FF2B5EF4-FFF2-40B4-BE49-F238E27FC236}">
              <a16:creationId xmlns:a16="http://schemas.microsoft.com/office/drawing/2014/main" id="{6D79B90D-D536-4B1E-B672-B31BFFAD5572}"/>
            </a:ext>
          </a:extLst>
        </xdr:cNvPr>
        <xdr:cNvSpPr>
          <a:spLocks noChangeAspect="1" noChangeArrowheads="1"/>
        </xdr:cNvSpPr>
      </xdr:nvSpPr>
      <xdr:spPr bwMode="auto">
        <a:xfrm>
          <a:off x="2294283" y="4977848"/>
          <a:ext cx="304800" cy="20546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05470"/>
    <xdr:sp macro="" textlink="">
      <xdr:nvSpPr>
        <xdr:cNvPr id="935" name="AutoShape 89" descr="+">
          <a:extLst>
            <a:ext uri="{FF2B5EF4-FFF2-40B4-BE49-F238E27FC236}">
              <a16:creationId xmlns:a16="http://schemas.microsoft.com/office/drawing/2014/main" id="{8677FBF9-FAA2-449B-AAE4-60CF182E2DD4}"/>
            </a:ext>
          </a:extLst>
        </xdr:cNvPr>
        <xdr:cNvSpPr>
          <a:spLocks noChangeAspect="1" noChangeArrowheads="1"/>
        </xdr:cNvSpPr>
      </xdr:nvSpPr>
      <xdr:spPr bwMode="auto">
        <a:xfrm>
          <a:off x="2294283" y="4977848"/>
          <a:ext cx="304800" cy="2054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05467"/>
    <xdr:sp macro="" textlink="">
      <xdr:nvSpPr>
        <xdr:cNvPr id="936" name="AutoShape 90" descr="+">
          <a:extLst>
            <a:ext uri="{FF2B5EF4-FFF2-40B4-BE49-F238E27FC236}">
              <a16:creationId xmlns:a16="http://schemas.microsoft.com/office/drawing/2014/main" id="{AB6EF8B2-64F2-4872-9664-C446E018836F}"/>
            </a:ext>
          </a:extLst>
        </xdr:cNvPr>
        <xdr:cNvSpPr>
          <a:spLocks noChangeAspect="1" noChangeArrowheads="1"/>
        </xdr:cNvSpPr>
      </xdr:nvSpPr>
      <xdr:spPr bwMode="auto">
        <a:xfrm>
          <a:off x="2294283" y="4977848"/>
          <a:ext cx="304800" cy="20546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6629"/>
    <xdr:sp macro="" textlink="">
      <xdr:nvSpPr>
        <xdr:cNvPr id="937" name="AutoShape 91" descr="+">
          <a:extLst>
            <a:ext uri="{FF2B5EF4-FFF2-40B4-BE49-F238E27FC236}">
              <a16:creationId xmlns:a16="http://schemas.microsoft.com/office/drawing/2014/main" id="{B907F5B7-7A51-4D19-9A12-AF636F727790}"/>
            </a:ext>
          </a:extLst>
        </xdr:cNvPr>
        <xdr:cNvSpPr>
          <a:spLocks noChangeAspect="1" noChangeArrowheads="1"/>
        </xdr:cNvSpPr>
      </xdr:nvSpPr>
      <xdr:spPr bwMode="auto">
        <a:xfrm>
          <a:off x="2294283" y="4977848"/>
          <a:ext cx="304800" cy="3066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71450"/>
    <xdr:sp macro="" textlink="">
      <xdr:nvSpPr>
        <xdr:cNvPr id="938" name="AutoShape 92" descr="+">
          <a:extLst>
            <a:ext uri="{FF2B5EF4-FFF2-40B4-BE49-F238E27FC236}">
              <a16:creationId xmlns:a16="http://schemas.microsoft.com/office/drawing/2014/main" id="{600E9DBC-7639-4465-AD6E-960AF8DF9D0A}"/>
            </a:ext>
          </a:extLst>
        </xdr:cNvPr>
        <xdr:cNvSpPr>
          <a:spLocks noChangeAspect="1" noChangeArrowheads="1"/>
        </xdr:cNvSpPr>
      </xdr:nvSpPr>
      <xdr:spPr bwMode="auto">
        <a:xfrm>
          <a:off x="2294283" y="4977848"/>
          <a:ext cx="304800" cy="1714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05470"/>
    <xdr:sp macro="" textlink="">
      <xdr:nvSpPr>
        <xdr:cNvPr id="939" name="AutoShape 93" descr="+">
          <a:extLst>
            <a:ext uri="{FF2B5EF4-FFF2-40B4-BE49-F238E27FC236}">
              <a16:creationId xmlns:a16="http://schemas.microsoft.com/office/drawing/2014/main" id="{7E2B3C8F-DAA7-4B06-8D75-24C4B25A4D11}"/>
            </a:ext>
          </a:extLst>
        </xdr:cNvPr>
        <xdr:cNvSpPr>
          <a:spLocks noChangeAspect="1" noChangeArrowheads="1"/>
        </xdr:cNvSpPr>
      </xdr:nvSpPr>
      <xdr:spPr bwMode="auto">
        <a:xfrm>
          <a:off x="2294283" y="4977848"/>
          <a:ext cx="304800" cy="2054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05470"/>
    <xdr:sp macro="" textlink="">
      <xdr:nvSpPr>
        <xdr:cNvPr id="940" name="AutoShape 94" descr="+">
          <a:extLst>
            <a:ext uri="{FF2B5EF4-FFF2-40B4-BE49-F238E27FC236}">
              <a16:creationId xmlns:a16="http://schemas.microsoft.com/office/drawing/2014/main" id="{655D7DCA-AAF5-4B30-BE15-82B7B30B40C7}"/>
            </a:ext>
          </a:extLst>
        </xdr:cNvPr>
        <xdr:cNvSpPr>
          <a:spLocks noChangeAspect="1" noChangeArrowheads="1"/>
        </xdr:cNvSpPr>
      </xdr:nvSpPr>
      <xdr:spPr bwMode="auto">
        <a:xfrm>
          <a:off x="2294283" y="4977848"/>
          <a:ext cx="304800" cy="2054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00708"/>
    <xdr:sp macro="" textlink="">
      <xdr:nvSpPr>
        <xdr:cNvPr id="941" name="AutoShape 95" descr="+">
          <a:extLst>
            <a:ext uri="{FF2B5EF4-FFF2-40B4-BE49-F238E27FC236}">
              <a16:creationId xmlns:a16="http://schemas.microsoft.com/office/drawing/2014/main" id="{A61B3811-9F43-4D42-AF4B-05736FA3D5A0}"/>
            </a:ext>
          </a:extLst>
        </xdr:cNvPr>
        <xdr:cNvSpPr>
          <a:spLocks noChangeAspect="1" noChangeArrowheads="1"/>
        </xdr:cNvSpPr>
      </xdr:nvSpPr>
      <xdr:spPr bwMode="auto">
        <a:xfrm>
          <a:off x="2294283" y="4977848"/>
          <a:ext cx="304800" cy="20070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71730"/>
    <xdr:sp macro="" textlink="">
      <xdr:nvSpPr>
        <xdr:cNvPr id="942" name="AutoShape 96" descr="+">
          <a:extLst>
            <a:ext uri="{FF2B5EF4-FFF2-40B4-BE49-F238E27FC236}">
              <a16:creationId xmlns:a16="http://schemas.microsoft.com/office/drawing/2014/main" id="{9AF2296B-1B46-46AF-B70D-4118BD8D2282}"/>
            </a:ext>
          </a:extLst>
        </xdr:cNvPr>
        <xdr:cNvSpPr>
          <a:spLocks noChangeAspect="1" noChangeArrowheads="1"/>
        </xdr:cNvSpPr>
      </xdr:nvSpPr>
      <xdr:spPr bwMode="auto">
        <a:xfrm>
          <a:off x="2294283" y="4977848"/>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71731"/>
    <xdr:sp macro="" textlink="">
      <xdr:nvSpPr>
        <xdr:cNvPr id="943" name="AutoShape 97" descr="+">
          <a:extLst>
            <a:ext uri="{FF2B5EF4-FFF2-40B4-BE49-F238E27FC236}">
              <a16:creationId xmlns:a16="http://schemas.microsoft.com/office/drawing/2014/main" id="{A899D418-80D9-43E6-B599-CD005E283E11}"/>
            </a:ext>
          </a:extLst>
        </xdr:cNvPr>
        <xdr:cNvSpPr>
          <a:spLocks noChangeAspect="1" noChangeArrowheads="1"/>
        </xdr:cNvSpPr>
      </xdr:nvSpPr>
      <xdr:spPr bwMode="auto">
        <a:xfrm>
          <a:off x="2294283" y="4977848"/>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76492"/>
    <xdr:sp macro="" textlink="">
      <xdr:nvSpPr>
        <xdr:cNvPr id="944" name="AutoShape 98" descr="+">
          <a:extLst>
            <a:ext uri="{FF2B5EF4-FFF2-40B4-BE49-F238E27FC236}">
              <a16:creationId xmlns:a16="http://schemas.microsoft.com/office/drawing/2014/main" id="{1A167419-B4D1-40B6-9847-6A61F6D4AC10}"/>
            </a:ext>
          </a:extLst>
        </xdr:cNvPr>
        <xdr:cNvSpPr>
          <a:spLocks noChangeAspect="1" noChangeArrowheads="1"/>
        </xdr:cNvSpPr>
      </xdr:nvSpPr>
      <xdr:spPr bwMode="auto">
        <a:xfrm>
          <a:off x="2294283" y="4977848"/>
          <a:ext cx="304800" cy="1764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3"/>
    <xdr:sp macro="" textlink="">
      <xdr:nvSpPr>
        <xdr:cNvPr id="945" name="AutoShape 99" descr="+">
          <a:extLst>
            <a:ext uri="{FF2B5EF4-FFF2-40B4-BE49-F238E27FC236}">
              <a16:creationId xmlns:a16="http://schemas.microsoft.com/office/drawing/2014/main" id="{FF90775E-A34D-4789-A596-051DF6EEA933}"/>
            </a:ext>
          </a:extLst>
        </xdr:cNvPr>
        <xdr:cNvSpPr>
          <a:spLocks noChangeAspect="1" noChangeArrowheads="1"/>
        </xdr:cNvSpPr>
      </xdr:nvSpPr>
      <xdr:spPr bwMode="auto">
        <a:xfrm>
          <a:off x="2294283" y="4977848"/>
          <a:ext cx="304800" cy="2105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81936"/>
    <xdr:sp macro="" textlink="">
      <xdr:nvSpPr>
        <xdr:cNvPr id="946" name="AutoShape 100" descr="+">
          <a:extLst>
            <a:ext uri="{FF2B5EF4-FFF2-40B4-BE49-F238E27FC236}">
              <a16:creationId xmlns:a16="http://schemas.microsoft.com/office/drawing/2014/main" id="{45AF6F6B-BC2D-4E47-85BC-8F0E2641969A}"/>
            </a:ext>
          </a:extLst>
        </xdr:cNvPr>
        <xdr:cNvSpPr>
          <a:spLocks noChangeAspect="1" noChangeArrowheads="1"/>
        </xdr:cNvSpPr>
      </xdr:nvSpPr>
      <xdr:spPr bwMode="auto">
        <a:xfrm>
          <a:off x="2294283" y="4977848"/>
          <a:ext cx="304800" cy="18193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1"/>
    <xdr:sp macro="" textlink="">
      <xdr:nvSpPr>
        <xdr:cNvPr id="947" name="AutoShape 101" descr="+">
          <a:extLst>
            <a:ext uri="{FF2B5EF4-FFF2-40B4-BE49-F238E27FC236}">
              <a16:creationId xmlns:a16="http://schemas.microsoft.com/office/drawing/2014/main" id="{186BAED8-0843-4957-A2DB-D2D3FCED8588}"/>
            </a:ext>
          </a:extLst>
        </xdr:cNvPr>
        <xdr:cNvSpPr>
          <a:spLocks noChangeAspect="1" noChangeArrowheads="1"/>
        </xdr:cNvSpPr>
      </xdr:nvSpPr>
      <xdr:spPr bwMode="auto">
        <a:xfrm>
          <a:off x="2294283" y="4977848"/>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09"/>
    <xdr:sp macro="" textlink="">
      <xdr:nvSpPr>
        <xdr:cNvPr id="948" name="AutoShape 102" descr="+">
          <a:extLst>
            <a:ext uri="{FF2B5EF4-FFF2-40B4-BE49-F238E27FC236}">
              <a16:creationId xmlns:a16="http://schemas.microsoft.com/office/drawing/2014/main" id="{FF21BA14-D2AD-44AD-B524-8ECDE9554251}"/>
            </a:ext>
          </a:extLst>
        </xdr:cNvPr>
        <xdr:cNvSpPr>
          <a:spLocks noChangeAspect="1" noChangeArrowheads="1"/>
        </xdr:cNvSpPr>
      </xdr:nvSpPr>
      <xdr:spPr bwMode="auto">
        <a:xfrm>
          <a:off x="2294283" y="4977848"/>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3"/>
    <xdr:sp macro="" textlink="">
      <xdr:nvSpPr>
        <xdr:cNvPr id="949" name="AutoShape 103" descr="+">
          <a:extLst>
            <a:ext uri="{FF2B5EF4-FFF2-40B4-BE49-F238E27FC236}">
              <a16:creationId xmlns:a16="http://schemas.microsoft.com/office/drawing/2014/main" id="{25A734F4-17FE-4EB2-88AB-6924AB1B4037}"/>
            </a:ext>
          </a:extLst>
        </xdr:cNvPr>
        <xdr:cNvSpPr>
          <a:spLocks noChangeAspect="1" noChangeArrowheads="1"/>
        </xdr:cNvSpPr>
      </xdr:nvSpPr>
      <xdr:spPr bwMode="auto">
        <a:xfrm>
          <a:off x="2294283" y="4977848"/>
          <a:ext cx="304800" cy="2105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09"/>
    <xdr:sp macro="" textlink="">
      <xdr:nvSpPr>
        <xdr:cNvPr id="950" name="AutoShape 104" descr="+">
          <a:extLst>
            <a:ext uri="{FF2B5EF4-FFF2-40B4-BE49-F238E27FC236}">
              <a16:creationId xmlns:a16="http://schemas.microsoft.com/office/drawing/2014/main" id="{77546A60-7F35-4EA1-AD19-50E8457C1B0B}"/>
            </a:ext>
          </a:extLst>
        </xdr:cNvPr>
        <xdr:cNvSpPr>
          <a:spLocks noChangeAspect="1" noChangeArrowheads="1"/>
        </xdr:cNvSpPr>
      </xdr:nvSpPr>
      <xdr:spPr bwMode="auto">
        <a:xfrm>
          <a:off x="2294283" y="4977848"/>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72133"/>
    <xdr:sp macro="" textlink="">
      <xdr:nvSpPr>
        <xdr:cNvPr id="951" name="AutoShape 105" descr="+">
          <a:extLst>
            <a:ext uri="{FF2B5EF4-FFF2-40B4-BE49-F238E27FC236}">
              <a16:creationId xmlns:a16="http://schemas.microsoft.com/office/drawing/2014/main" id="{D72C275D-9461-4878-8113-1A8A4EB41E96}"/>
            </a:ext>
          </a:extLst>
        </xdr:cNvPr>
        <xdr:cNvSpPr>
          <a:spLocks noChangeAspect="1" noChangeArrowheads="1"/>
        </xdr:cNvSpPr>
      </xdr:nvSpPr>
      <xdr:spPr bwMode="auto">
        <a:xfrm>
          <a:off x="2294283" y="4977848"/>
          <a:ext cx="304800" cy="17213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00705"/>
    <xdr:sp macro="" textlink="">
      <xdr:nvSpPr>
        <xdr:cNvPr id="952" name="AutoShape 106" descr="+">
          <a:extLst>
            <a:ext uri="{FF2B5EF4-FFF2-40B4-BE49-F238E27FC236}">
              <a16:creationId xmlns:a16="http://schemas.microsoft.com/office/drawing/2014/main" id="{78CC5B1B-AB4C-481E-BC11-3FBCBE5A2334}"/>
            </a:ext>
          </a:extLst>
        </xdr:cNvPr>
        <xdr:cNvSpPr>
          <a:spLocks noChangeAspect="1" noChangeArrowheads="1"/>
        </xdr:cNvSpPr>
      </xdr:nvSpPr>
      <xdr:spPr bwMode="auto">
        <a:xfrm>
          <a:off x="2294283" y="4977848"/>
          <a:ext cx="304800" cy="20070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04110"/>
    <xdr:sp macro="" textlink="">
      <xdr:nvSpPr>
        <xdr:cNvPr id="953" name="AutoShape 107" descr="+">
          <a:extLst>
            <a:ext uri="{FF2B5EF4-FFF2-40B4-BE49-F238E27FC236}">
              <a16:creationId xmlns:a16="http://schemas.microsoft.com/office/drawing/2014/main" id="{ADE34452-D5E8-4FF6-9F3D-E27FF57367D3}"/>
            </a:ext>
          </a:extLst>
        </xdr:cNvPr>
        <xdr:cNvSpPr>
          <a:spLocks noChangeAspect="1" noChangeArrowheads="1"/>
        </xdr:cNvSpPr>
      </xdr:nvSpPr>
      <xdr:spPr bwMode="auto">
        <a:xfrm>
          <a:off x="2294283" y="4977848"/>
          <a:ext cx="304800" cy="2041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71730"/>
    <xdr:sp macro="" textlink="">
      <xdr:nvSpPr>
        <xdr:cNvPr id="954" name="AutoShape 108" descr="+">
          <a:extLst>
            <a:ext uri="{FF2B5EF4-FFF2-40B4-BE49-F238E27FC236}">
              <a16:creationId xmlns:a16="http://schemas.microsoft.com/office/drawing/2014/main" id="{7D996BC1-CF72-48FF-80A8-41BB1A6BB8B1}"/>
            </a:ext>
          </a:extLst>
        </xdr:cNvPr>
        <xdr:cNvSpPr>
          <a:spLocks noChangeAspect="1" noChangeArrowheads="1"/>
        </xdr:cNvSpPr>
      </xdr:nvSpPr>
      <xdr:spPr bwMode="auto">
        <a:xfrm>
          <a:off x="2294283" y="4977848"/>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81938"/>
    <xdr:sp macro="" textlink="">
      <xdr:nvSpPr>
        <xdr:cNvPr id="955" name="AutoShape 109" descr="+">
          <a:extLst>
            <a:ext uri="{FF2B5EF4-FFF2-40B4-BE49-F238E27FC236}">
              <a16:creationId xmlns:a16="http://schemas.microsoft.com/office/drawing/2014/main" id="{2AF719E0-4B5B-4FE4-9CBA-6AF6E148A8C1}"/>
            </a:ext>
          </a:extLst>
        </xdr:cNvPr>
        <xdr:cNvSpPr>
          <a:spLocks noChangeAspect="1" noChangeArrowheads="1"/>
        </xdr:cNvSpPr>
      </xdr:nvSpPr>
      <xdr:spPr bwMode="auto">
        <a:xfrm>
          <a:off x="2294283" y="4977848"/>
          <a:ext cx="304800" cy="1819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71730"/>
    <xdr:sp macro="" textlink="">
      <xdr:nvSpPr>
        <xdr:cNvPr id="956" name="AutoShape 110" descr="+">
          <a:extLst>
            <a:ext uri="{FF2B5EF4-FFF2-40B4-BE49-F238E27FC236}">
              <a16:creationId xmlns:a16="http://schemas.microsoft.com/office/drawing/2014/main" id="{A11C7241-9FBD-4B9D-9F12-7092675EE105}"/>
            </a:ext>
          </a:extLst>
        </xdr:cNvPr>
        <xdr:cNvSpPr>
          <a:spLocks noChangeAspect="1" noChangeArrowheads="1"/>
        </xdr:cNvSpPr>
      </xdr:nvSpPr>
      <xdr:spPr bwMode="auto">
        <a:xfrm>
          <a:off x="2294283" y="4977848"/>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1"/>
    <xdr:sp macro="" textlink="">
      <xdr:nvSpPr>
        <xdr:cNvPr id="957" name="AutoShape 111" descr="+">
          <a:extLst>
            <a:ext uri="{FF2B5EF4-FFF2-40B4-BE49-F238E27FC236}">
              <a16:creationId xmlns:a16="http://schemas.microsoft.com/office/drawing/2014/main" id="{5792BFE0-AB47-4AC2-97A9-E0C396B2A669}"/>
            </a:ext>
          </a:extLst>
        </xdr:cNvPr>
        <xdr:cNvSpPr>
          <a:spLocks noChangeAspect="1" noChangeArrowheads="1"/>
        </xdr:cNvSpPr>
      </xdr:nvSpPr>
      <xdr:spPr bwMode="auto">
        <a:xfrm>
          <a:off x="2294283" y="4977848"/>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2"/>
    <xdr:sp macro="" textlink="">
      <xdr:nvSpPr>
        <xdr:cNvPr id="958" name="AutoShape 112" descr="+">
          <a:extLst>
            <a:ext uri="{FF2B5EF4-FFF2-40B4-BE49-F238E27FC236}">
              <a16:creationId xmlns:a16="http://schemas.microsoft.com/office/drawing/2014/main" id="{84B495A3-86EE-4DBE-8B8A-E2764F128F59}"/>
            </a:ext>
          </a:extLst>
        </xdr:cNvPr>
        <xdr:cNvSpPr>
          <a:spLocks noChangeAspect="1" noChangeArrowheads="1"/>
        </xdr:cNvSpPr>
      </xdr:nvSpPr>
      <xdr:spPr bwMode="auto">
        <a:xfrm>
          <a:off x="2294283" y="4977848"/>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91458"/>
    <xdr:sp macro="" textlink="">
      <xdr:nvSpPr>
        <xdr:cNvPr id="959" name="AutoShape 113" descr="+">
          <a:extLst>
            <a:ext uri="{FF2B5EF4-FFF2-40B4-BE49-F238E27FC236}">
              <a16:creationId xmlns:a16="http://schemas.microsoft.com/office/drawing/2014/main" id="{A5F32EE4-6339-4FAD-B1F6-348BB9116C35}"/>
            </a:ext>
          </a:extLst>
        </xdr:cNvPr>
        <xdr:cNvSpPr>
          <a:spLocks noChangeAspect="1" noChangeArrowheads="1"/>
        </xdr:cNvSpPr>
      </xdr:nvSpPr>
      <xdr:spPr bwMode="auto">
        <a:xfrm>
          <a:off x="2294283" y="4977848"/>
          <a:ext cx="304800" cy="19145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1"/>
    <xdr:sp macro="" textlink="">
      <xdr:nvSpPr>
        <xdr:cNvPr id="960" name="AutoShape 114" descr="+">
          <a:extLst>
            <a:ext uri="{FF2B5EF4-FFF2-40B4-BE49-F238E27FC236}">
              <a16:creationId xmlns:a16="http://schemas.microsoft.com/office/drawing/2014/main" id="{5CE45EEE-8DD6-4DDD-8050-0A0A7B2F0A65}"/>
            </a:ext>
          </a:extLst>
        </xdr:cNvPr>
        <xdr:cNvSpPr>
          <a:spLocks noChangeAspect="1" noChangeArrowheads="1"/>
        </xdr:cNvSpPr>
      </xdr:nvSpPr>
      <xdr:spPr bwMode="auto">
        <a:xfrm>
          <a:off x="2294283" y="4977848"/>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2"/>
    <xdr:sp macro="" textlink="">
      <xdr:nvSpPr>
        <xdr:cNvPr id="961" name="AutoShape 115" descr="+">
          <a:extLst>
            <a:ext uri="{FF2B5EF4-FFF2-40B4-BE49-F238E27FC236}">
              <a16:creationId xmlns:a16="http://schemas.microsoft.com/office/drawing/2014/main" id="{165B0480-CA96-471E-BE97-5FAA056BDE42}"/>
            </a:ext>
          </a:extLst>
        </xdr:cNvPr>
        <xdr:cNvSpPr>
          <a:spLocks noChangeAspect="1" noChangeArrowheads="1"/>
        </xdr:cNvSpPr>
      </xdr:nvSpPr>
      <xdr:spPr bwMode="auto">
        <a:xfrm>
          <a:off x="2294283" y="4977848"/>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2"/>
    <xdr:sp macro="" textlink="">
      <xdr:nvSpPr>
        <xdr:cNvPr id="962" name="AutoShape 116" descr="+">
          <a:extLst>
            <a:ext uri="{FF2B5EF4-FFF2-40B4-BE49-F238E27FC236}">
              <a16:creationId xmlns:a16="http://schemas.microsoft.com/office/drawing/2014/main" id="{8714C941-93EA-42F5-8BB4-A7FDD941ACE7}"/>
            </a:ext>
          </a:extLst>
        </xdr:cNvPr>
        <xdr:cNvSpPr>
          <a:spLocks noChangeAspect="1" noChangeArrowheads="1"/>
        </xdr:cNvSpPr>
      </xdr:nvSpPr>
      <xdr:spPr bwMode="auto">
        <a:xfrm>
          <a:off x="2294283" y="4977848"/>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1"/>
    <xdr:sp macro="" textlink="">
      <xdr:nvSpPr>
        <xdr:cNvPr id="963" name="AutoShape 117" descr="+">
          <a:extLst>
            <a:ext uri="{FF2B5EF4-FFF2-40B4-BE49-F238E27FC236}">
              <a16:creationId xmlns:a16="http://schemas.microsoft.com/office/drawing/2014/main" id="{55181EC4-A21E-4455-AAE3-DDD325504895}"/>
            </a:ext>
          </a:extLst>
        </xdr:cNvPr>
        <xdr:cNvSpPr>
          <a:spLocks noChangeAspect="1" noChangeArrowheads="1"/>
        </xdr:cNvSpPr>
      </xdr:nvSpPr>
      <xdr:spPr bwMode="auto">
        <a:xfrm>
          <a:off x="2294283" y="4977848"/>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1"/>
    <xdr:sp macro="" textlink="">
      <xdr:nvSpPr>
        <xdr:cNvPr id="964" name="AutoShape 118" descr="+">
          <a:extLst>
            <a:ext uri="{FF2B5EF4-FFF2-40B4-BE49-F238E27FC236}">
              <a16:creationId xmlns:a16="http://schemas.microsoft.com/office/drawing/2014/main" id="{1F62478C-0835-4EB4-ACD4-378BCF3301C7}"/>
            </a:ext>
          </a:extLst>
        </xdr:cNvPr>
        <xdr:cNvSpPr>
          <a:spLocks noChangeAspect="1" noChangeArrowheads="1"/>
        </xdr:cNvSpPr>
      </xdr:nvSpPr>
      <xdr:spPr bwMode="auto">
        <a:xfrm>
          <a:off x="2294283" y="4977848"/>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09"/>
    <xdr:sp macro="" textlink="">
      <xdr:nvSpPr>
        <xdr:cNvPr id="965" name="AutoShape 119" descr="+">
          <a:extLst>
            <a:ext uri="{FF2B5EF4-FFF2-40B4-BE49-F238E27FC236}">
              <a16:creationId xmlns:a16="http://schemas.microsoft.com/office/drawing/2014/main" id="{47C080E4-1EA3-45D0-BA75-60419A324753}"/>
            </a:ext>
          </a:extLst>
        </xdr:cNvPr>
        <xdr:cNvSpPr>
          <a:spLocks noChangeAspect="1" noChangeArrowheads="1"/>
        </xdr:cNvSpPr>
      </xdr:nvSpPr>
      <xdr:spPr bwMode="auto">
        <a:xfrm>
          <a:off x="2294283" y="4977848"/>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71731"/>
    <xdr:sp macro="" textlink="">
      <xdr:nvSpPr>
        <xdr:cNvPr id="966" name="AutoShape 120" descr="+">
          <a:extLst>
            <a:ext uri="{FF2B5EF4-FFF2-40B4-BE49-F238E27FC236}">
              <a16:creationId xmlns:a16="http://schemas.microsoft.com/office/drawing/2014/main" id="{8D559D7C-5664-45F3-803A-4B947CFBAF81}"/>
            </a:ext>
          </a:extLst>
        </xdr:cNvPr>
        <xdr:cNvSpPr>
          <a:spLocks noChangeAspect="1" noChangeArrowheads="1"/>
        </xdr:cNvSpPr>
      </xdr:nvSpPr>
      <xdr:spPr bwMode="auto">
        <a:xfrm>
          <a:off x="2294283" y="4977848"/>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71730"/>
    <xdr:sp macro="" textlink="">
      <xdr:nvSpPr>
        <xdr:cNvPr id="967" name="AutoShape 121" descr="+">
          <a:extLst>
            <a:ext uri="{FF2B5EF4-FFF2-40B4-BE49-F238E27FC236}">
              <a16:creationId xmlns:a16="http://schemas.microsoft.com/office/drawing/2014/main" id="{6F485EAD-6150-4656-8ED6-BEB61B2E0ED4}"/>
            </a:ext>
          </a:extLst>
        </xdr:cNvPr>
        <xdr:cNvSpPr>
          <a:spLocks noChangeAspect="1" noChangeArrowheads="1"/>
        </xdr:cNvSpPr>
      </xdr:nvSpPr>
      <xdr:spPr bwMode="auto">
        <a:xfrm>
          <a:off x="2294283" y="4977848"/>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81938"/>
    <xdr:sp macro="" textlink="">
      <xdr:nvSpPr>
        <xdr:cNvPr id="968" name="AutoShape 122" descr="+">
          <a:extLst>
            <a:ext uri="{FF2B5EF4-FFF2-40B4-BE49-F238E27FC236}">
              <a16:creationId xmlns:a16="http://schemas.microsoft.com/office/drawing/2014/main" id="{61191A00-CA81-4D47-80AA-A82D42E56950}"/>
            </a:ext>
          </a:extLst>
        </xdr:cNvPr>
        <xdr:cNvSpPr>
          <a:spLocks noChangeAspect="1" noChangeArrowheads="1"/>
        </xdr:cNvSpPr>
      </xdr:nvSpPr>
      <xdr:spPr bwMode="auto">
        <a:xfrm>
          <a:off x="2294283" y="4977848"/>
          <a:ext cx="304800" cy="1819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76492"/>
    <xdr:sp macro="" textlink="">
      <xdr:nvSpPr>
        <xdr:cNvPr id="969" name="AutoShape 123" descr="+">
          <a:extLst>
            <a:ext uri="{FF2B5EF4-FFF2-40B4-BE49-F238E27FC236}">
              <a16:creationId xmlns:a16="http://schemas.microsoft.com/office/drawing/2014/main" id="{81091A15-B741-4DBB-B5FE-C4BCF3D43D52}"/>
            </a:ext>
          </a:extLst>
        </xdr:cNvPr>
        <xdr:cNvSpPr>
          <a:spLocks noChangeAspect="1" noChangeArrowheads="1"/>
        </xdr:cNvSpPr>
      </xdr:nvSpPr>
      <xdr:spPr bwMode="auto">
        <a:xfrm>
          <a:off x="2294283" y="4977848"/>
          <a:ext cx="304800" cy="1764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2"/>
    <xdr:sp macro="" textlink="">
      <xdr:nvSpPr>
        <xdr:cNvPr id="970" name="AutoShape 124" descr="+">
          <a:extLst>
            <a:ext uri="{FF2B5EF4-FFF2-40B4-BE49-F238E27FC236}">
              <a16:creationId xmlns:a16="http://schemas.microsoft.com/office/drawing/2014/main" id="{D66C6281-8D0C-418C-AEC0-A7FDCF53CD96}"/>
            </a:ext>
          </a:extLst>
        </xdr:cNvPr>
        <xdr:cNvSpPr>
          <a:spLocks noChangeAspect="1" noChangeArrowheads="1"/>
        </xdr:cNvSpPr>
      </xdr:nvSpPr>
      <xdr:spPr bwMode="auto">
        <a:xfrm>
          <a:off x="2294283" y="4977848"/>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0"/>
    <xdr:sp macro="" textlink="">
      <xdr:nvSpPr>
        <xdr:cNvPr id="971" name="AutoShape 125" descr="+">
          <a:extLst>
            <a:ext uri="{FF2B5EF4-FFF2-40B4-BE49-F238E27FC236}">
              <a16:creationId xmlns:a16="http://schemas.microsoft.com/office/drawing/2014/main" id="{45B7D41A-524E-4E4A-8F88-C389419638A2}"/>
            </a:ext>
          </a:extLst>
        </xdr:cNvPr>
        <xdr:cNvSpPr>
          <a:spLocks noChangeAspect="1" noChangeArrowheads="1"/>
        </xdr:cNvSpPr>
      </xdr:nvSpPr>
      <xdr:spPr bwMode="auto">
        <a:xfrm>
          <a:off x="2294283" y="4977848"/>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2"/>
    <xdr:sp macro="" textlink="">
      <xdr:nvSpPr>
        <xdr:cNvPr id="972" name="AutoShape 126" descr="+">
          <a:extLst>
            <a:ext uri="{FF2B5EF4-FFF2-40B4-BE49-F238E27FC236}">
              <a16:creationId xmlns:a16="http://schemas.microsoft.com/office/drawing/2014/main" id="{B04AFBFA-A842-4839-877A-1EAC1847971B}"/>
            </a:ext>
          </a:extLst>
        </xdr:cNvPr>
        <xdr:cNvSpPr>
          <a:spLocks noChangeAspect="1" noChangeArrowheads="1"/>
        </xdr:cNvSpPr>
      </xdr:nvSpPr>
      <xdr:spPr bwMode="auto">
        <a:xfrm>
          <a:off x="2294283" y="4977848"/>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03088"/>
    <xdr:sp macro="" textlink="">
      <xdr:nvSpPr>
        <xdr:cNvPr id="973" name="AutoShape 127" descr="+">
          <a:extLst>
            <a:ext uri="{FF2B5EF4-FFF2-40B4-BE49-F238E27FC236}">
              <a16:creationId xmlns:a16="http://schemas.microsoft.com/office/drawing/2014/main" id="{EF755071-51FA-4787-8E2C-EB2164FF8F0D}"/>
            </a:ext>
          </a:extLst>
        </xdr:cNvPr>
        <xdr:cNvSpPr>
          <a:spLocks noChangeAspect="1" noChangeArrowheads="1"/>
        </xdr:cNvSpPr>
      </xdr:nvSpPr>
      <xdr:spPr bwMode="auto">
        <a:xfrm>
          <a:off x="2294283" y="4977848"/>
          <a:ext cx="304800" cy="20308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03089"/>
    <xdr:sp macro="" textlink="">
      <xdr:nvSpPr>
        <xdr:cNvPr id="974" name="AutoShape 128" descr="+">
          <a:extLst>
            <a:ext uri="{FF2B5EF4-FFF2-40B4-BE49-F238E27FC236}">
              <a16:creationId xmlns:a16="http://schemas.microsoft.com/office/drawing/2014/main" id="{149DF14B-8F5E-4794-BCCB-3F53C29F4B2B}"/>
            </a:ext>
          </a:extLst>
        </xdr:cNvPr>
        <xdr:cNvSpPr>
          <a:spLocks noChangeAspect="1" noChangeArrowheads="1"/>
        </xdr:cNvSpPr>
      </xdr:nvSpPr>
      <xdr:spPr bwMode="auto">
        <a:xfrm>
          <a:off x="2294283" y="4977848"/>
          <a:ext cx="304800" cy="20308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09"/>
    <xdr:sp macro="" textlink="">
      <xdr:nvSpPr>
        <xdr:cNvPr id="975" name="AutoShape 129" descr="+">
          <a:extLst>
            <a:ext uri="{FF2B5EF4-FFF2-40B4-BE49-F238E27FC236}">
              <a16:creationId xmlns:a16="http://schemas.microsoft.com/office/drawing/2014/main" id="{019EE247-A1D7-484E-9866-9F9A15FCB249}"/>
            </a:ext>
          </a:extLst>
        </xdr:cNvPr>
        <xdr:cNvSpPr>
          <a:spLocks noChangeAspect="1" noChangeArrowheads="1"/>
        </xdr:cNvSpPr>
      </xdr:nvSpPr>
      <xdr:spPr bwMode="auto">
        <a:xfrm>
          <a:off x="2294283" y="4977848"/>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71730"/>
    <xdr:sp macro="" textlink="">
      <xdr:nvSpPr>
        <xdr:cNvPr id="976" name="AutoShape 130" descr="+">
          <a:extLst>
            <a:ext uri="{FF2B5EF4-FFF2-40B4-BE49-F238E27FC236}">
              <a16:creationId xmlns:a16="http://schemas.microsoft.com/office/drawing/2014/main" id="{48E0C4BB-ACD7-4E0D-9006-06B91919ADF5}"/>
            </a:ext>
          </a:extLst>
        </xdr:cNvPr>
        <xdr:cNvSpPr>
          <a:spLocks noChangeAspect="1" noChangeArrowheads="1"/>
        </xdr:cNvSpPr>
      </xdr:nvSpPr>
      <xdr:spPr bwMode="auto">
        <a:xfrm>
          <a:off x="2294283" y="4977848"/>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71731"/>
    <xdr:sp macro="" textlink="">
      <xdr:nvSpPr>
        <xdr:cNvPr id="977" name="AutoShape 131" descr="+">
          <a:extLst>
            <a:ext uri="{FF2B5EF4-FFF2-40B4-BE49-F238E27FC236}">
              <a16:creationId xmlns:a16="http://schemas.microsoft.com/office/drawing/2014/main" id="{52265116-BF40-4128-B4B3-9752F9094208}"/>
            </a:ext>
          </a:extLst>
        </xdr:cNvPr>
        <xdr:cNvSpPr>
          <a:spLocks noChangeAspect="1" noChangeArrowheads="1"/>
        </xdr:cNvSpPr>
      </xdr:nvSpPr>
      <xdr:spPr bwMode="auto">
        <a:xfrm>
          <a:off x="2294283" y="4977848"/>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1"/>
    <xdr:sp macro="" textlink="">
      <xdr:nvSpPr>
        <xdr:cNvPr id="978" name="AutoShape 132" descr="+">
          <a:extLst>
            <a:ext uri="{FF2B5EF4-FFF2-40B4-BE49-F238E27FC236}">
              <a16:creationId xmlns:a16="http://schemas.microsoft.com/office/drawing/2014/main" id="{A6A8A110-FD0C-4EE5-A5DB-95EB3564BCCB}"/>
            </a:ext>
          </a:extLst>
        </xdr:cNvPr>
        <xdr:cNvSpPr>
          <a:spLocks noChangeAspect="1" noChangeArrowheads="1"/>
        </xdr:cNvSpPr>
      </xdr:nvSpPr>
      <xdr:spPr bwMode="auto">
        <a:xfrm>
          <a:off x="2294283" y="4977848"/>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1"/>
    <xdr:sp macro="" textlink="">
      <xdr:nvSpPr>
        <xdr:cNvPr id="979" name="AutoShape 133" descr="+">
          <a:extLst>
            <a:ext uri="{FF2B5EF4-FFF2-40B4-BE49-F238E27FC236}">
              <a16:creationId xmlns:a16="http://schemas.microsoft.com/office/drawing/2014/main" id="{8F5A53C1-537B-4535-9E84-FD10F5C544FF}"/>
            </a:ext>
          </a:extLst>
        </xdr:cNvPr>
        <xdr:cNvSpPr>
          <a:spLocks noChangeAspect="1" noChangeArrowheads="1"/>
        </xdr:cNvSpPr>
      </xdr:nvSpPr>
      <xdr:spPr bwMode="auto">
        <a:xfrm>
          <a:off x="2294283" y="4977848"/>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0"/>
    <xdr:sp macro="" textlink="">
      <xdr:nvSpPr>
        <xdr:cNvPr id="980" name="AutoShape 134" descr="+">
          <a:extLst>
            <a:ext uri="{FF2B5EF4-FFF2-40B4-BE49-F238E27FC236}">
              <a16:creationId xmlns:a16="http://schemas.microsoft.com/office/drawing/2014/main" id="{21204C68-DB95-496D-879F-4A8AA5D712DA}"/>
            </a:ext>
          </a:extLst>
        </xdr:cNvPr>
        <xdr:cNvSpPr>
          <a:spLocks noChangeAspect="1" noChangeArrowheads="1"/>
        </xdr:cNvSpPr>
      </xdr:nvSpPr>
      <xdr:spPr bwMode="auto">
        <a:xfrm>
          <a:off x="2294283" y="4977848"/>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1"/>
    <xdr:sp macro="" textlink="">
      <xdr:nvSpPr>
        <xdr:cNvPr id="981" name="AutoShape 135" descr="+">
          <a:extLst>
            <a:ext uri="{FF2B5EF4-FFF2-40B4-BE49-F238E27FC236}">
              <a16:creationId xmlns:a16="http://schemas.microsoft.com/office/drawing/2014/main" id="{C9D68832-C024-41AD-987A-CAA239EA0F51}"/>
            </a:ext>
          </a:extLst>
        </xdr:cNvPr>
        <xdr:cNvSpPr>
          <a:spLocks noChangeAspect="1" noChangeArrowheads="1"/>
        </xdr:cNvSpPr>
      </xdr:nvSpPr>
      <xdr:spPr bwMode="auto">
        <a:xfrm>
          <a:off x="2294283" y="4977848"/>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1"/>
    <xdr:sp macro="" textlink="">
      <xdr:nvSpPr>
        <xdr:cNvPr id="982" name="AutoShape 136" descr="+">
          <a:extLst>
            <a:ext uri="{FF2B5EF4-FFF2-40B4-BE49-F238E27FC236}">
              <a16:creationId xmlns:a16="http://schemas.microsoft.com/office/drawing/2014/main" id="{D5F941DD-FB8E-423E-8630-FB79353F7986}"/>
            </a:ext>
          </a:extLst>
        </xdr:cNvPr>
        <xdr:cNvSpPr>
          <a:spLocks noChangeAspect="1" noChangeArrowheads="1"/>
        </xdr:cNvSpPr>
      </xdr:nvSpPr>
      <xdr:spPr bwMode="auto">
        <a:xfrm>
          <a:off x="2294283" y="4977848"/>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2"/>
    <xdr:sp macro="" textlink="">
      <xdr:nvSpPr>
        <xdr:cNvPr id="983" name="AutoShape 137" descr="+">
          <a:extLst>
            <a:ext uri="{FF2B5EF4-FFF2-40B4-BE49-F238E27FC236}">
              <a16:creationId xmlns:a16="http://schemas.microsoft.com/office/drawing/2014/main" id="{A482C36C-55A6-4A16-8BC3-473A091D261D}"/>
            </a:ext>
          </a:extLst>
        </xdr:cNvPr>
        <xdr:cNvSpPr>
          <a:spLocks noChangeAspect="1" noChangeArrowheads="1"/>
        </xdr:cNvSpPr>
      </xdr:nvSpPr>
      <xdr:spPr bwMode="auto">
        <a:xfrm>
          <a:off x="2294283" y="4977848"/>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1"/>
    <xdr:sp macro="" textlink="">
      <xdr:nvSpPr>
        <xdr:cNvPr id="984" name="AutoShape 138" descr="+">
          <a:extLst>
            <a:ext uri="{FF2B5EF4-FFF2-40B4-BE49-F238E27FC236}">
              <a16:creationId xmlns:a16="http://schemas.microsoft.com/office/drawing/2014/main" id="{0EF6A414-863A-4FAD-BE52-362A00F10413}"/>
            </a:ext>
          </a:extLst>
        </xdr:cNvPr>
        <xdr:cNvSpPr>
          <a:spLocks noChangeAspect="1" noChangeArrowheads="1"/>
        </xdr:cNvSpPr>
      </xdr:nvSpPr>
      <xdr:spPr bwMode="auto">
        <a:xfrm>
          <a:off x="2294283" y="4977848"/>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09"/>
    <xdr:sp macro="" textlink="">
      <xdr:nvSpPr>
        <xdr:cNvPr id="985" name="AutoShape 139" descr="+">
          <a:extLst>
            <a:ext uri="{FF2B5EF4-FFF2-40B4-BE49-F238E27FC236}">
              <a16:creationId xmlns:a16="http://schemas.microsoft.com/office/drawing/2014/main" id="{5A20A855-D8E0-49AD-B53F-F0592D0A934B}"/>
            </a:ext>
          </a:extLst>
        </xdr:cNvPr>
        <xdr:cNvSpPr>
          <a:spLocks noChangeAspect="1" noChangeArrowheads="1"/>
        </xdr:cNvSpPr>
      </xdr:nvSpPr>
      <xdr:spPr bwMode="auto">
        <a:xfrm>
          <a:off x="2294283" y="4977848"/>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71732"/>
    <xdr:sp macro="" textlink="">
      <xdr:nvSpPr>
        <xdr:cNvPr id="986" name="AutoShape 140" descr="+">
          <a:extLst>
            <a:ext uri="{FF2B5EF4-FFF2-40B4-BE49-F238E27FC236}">
              <a16:creationId xmlns:a16="http://schemas.microsoft.com/office/drawing/2014/main" id="{9B89D7B0-32CD-40F2-B6CC-6A7113035B4B}"/>
            </a:ext>
          </a:extLst>
        </xdr:cNvPr>
        <xdr:cNvSpPr>
          <a:spLocks noChangeAspect="1" noChangeArrowheads="1"/>
        </xdr:cNvSpPr>
      </xdr:nvSpPr>
      <xdr:spPr bwMode="auto">
        <a:xfrm>
          <a:off x="2294283" y="4977848"/>
          <a:ext cx="304800" cy="17173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71730"/>
    <xdr:sp macro="" textlink="">
      <xdr:nvSpPr>
        <xdr:cNvPr id="987" name="AutoShape 141" descr="+">
          <a:extLst>
            <a:ext uri="{FF2B5EF4-FFF2-40B4-BE49-F238E27FC236}">
              <a16:creationId xmlns:a16="http://schemas.microsoft.com/office/drawing/2014/main" id="{C5B3F74B-7395-4BEB-A75D-42C9D84BB82E}"/>
            </a:ext>
          </a:extLst>
        </xdr:cNvPr>
        <xdr:cNvSpPr>
          <a:spLocks noChangeAspect="1" noChangeArrowheads="1"/>
        </xdr:cNvSpPr>
      </xdr:nvSpPr>
      <xdr:spPr bwMode="auto">
        <a:xfrm>
          <a:off x="2294283" y="4977848"/>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71731"/>
    <xdr:sp macro="" textlink="">
      <xdr:nvSpPr>
        <xdr:cNvPr id="988" name="AutoShape 142" descr="+">
          <a:extLst>
            <a:ext uri="{FF2B5EF4-FFF2-40B4-BE49-F238E27FC236}">
              <a16:creationId xmlns:a16="http://schemas.microsoft.com/office/drawing/2014/main" id="{251F7E49-C0CA-4180-BE58-ABE43439A35A}"/>
            </a:ext>
          </a:extLst>
        </xdr:cNvPr>
        <xdr:cNvSpPr>
          <a:spLocks noChangeAspect="1" noChangeArrowheads="1"/>
        </xdr:cNvSpPr>
      </xdr:nvSpPr>
      <xdr:spPr bwMode="auto">
        <a:xfrm>
          <a:off x="2294283" y="4977848"/>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26915"/>
    <xdr:sp macro="" textlink="">
      <xdr:nvSpPr>
        <xdr:cNvPr id="989" name="AutoShape 143" descr="+">
          <a:extLst>
            <a:ext uri="{FF2B5EF4-FFF2-40B4-BE49-F238E27FC236}">
              <a16:creationId xmlns:a16="http://schemas.microsoft.com/office/drawing/2014/main" id="{79977108-9665-4E0E-A418-635A093C2548}"/>
            </a:ext>
          </a:extLst>
        </xdr:cNvPr>
        <xdr:cNvSpPr>
          <a:spLocks noChangeAspect="1" noChangeArrowheads="1"/>
        </xdr:cNvSpPr>
      </xdr:nvSpPr>
      <xdr:spPr bwMode="auto">
        <a:xfrm>
          <a:off x="2294283" y="4977848"/>
          <a:ext cx="304800" cy="3269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0"/>
    <xdr:sp macro="" textlink="">
      <xdr:nvSpPr>
        <xdr:cNvPr id="990" name="AutoShape 144" descr="+">
          <a:extLst>
            <a:ext uri="{FF2B5EF4-FFF2-40B4-BE49-F238E27FC236}">
              <a16:creationId xmlns:a16="http://schemas.microsoft.com/office/drawing/2014/main" id="{4B6FE6CE-7D8F-4F16-A34C-105CC4686A60}"/>
            </a:ext>
          </a:extLst>
        </xdr:cNvPr>
        <xdr:cNvSpPr>
          <a:spLocks noChangeAspect="1" noChangeArrowheads="1"/>
        </xdr:cNvSpPr>
      </xdr:nvSpPr>
      <xdr:spPr bwMode="auto">
        <a:xfrm>
          <a:off x="2294283" y="4977848"/>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1"/>
    <xdr:sp macro="" textlink="">
      <xdr:nvSpPr>
        <xdr:cNvPr id="991" name="AutoShape 145" descr="+">
          <a:extLst>
            <a:ext uri="{FF2B5EF4-FFF2-40B4-BE49-F238E27FC236}">
              <a16:creationId xmlns:a16="http://schemas.microsoft.com/office/drawing/2014/main" id="{7FDEE827-C4B5-4CAC-B7D6-D7A1C92EF616}"/>
            </a:ext>
          </a:extLst>
        </xdr:cNvPr>
        <xdr:cNvSpPr>
          <a:spLocks noChangeAspect="1" noChangeArrowheads="1"/>
        </xdr:cNvSpPr>
      </xdr:nvSpPr>
      <xdr:spPr bwMode="auto">
        <a:xfrm>
          <a:off x="2294283" y="4977848"/>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1"/>
    <xdr:sp macro="" textlink="">
      <xdr:nvSpPr>
        <xdr:cNvPr id="992" name="AutoShape 146" descr="+">
          <a:extLst>
            <a:ext uri="{FF2B5EF4-FFF2-40B4-BE49-F238E27FC236}">
              <a16:creationId xmlns:a16="http://schemas.microsoft.com/office/drawing/2014/main" id="{5D9FDA2B-5757-47BA-A00D-F9E3AD89C4E4}"/>
            </a:ext>
          </a:extLst>
        </xdr:cNvPr>
        <xdr:cNvSpPr>
          <a:spLocks noChangeAspect="1" noChangeArrowheads="1"/>
        </xdr:cNvSpPr>
      </xdr:nvSpPr>
      <xdr:spPr bwMode="auto">
        <a:xfrm>
          <a:off x="2294283" y="4977848"/>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71730"/>
    <xdr:sp macro="" textlink="">
      <xdr:nvSpPr>
        <xdr:cNvPr id="993" name="AutoShape 147" descr="+">
          <a:extLst>
            <a:ext uri="{FF2B5EF4-FFF2-40B4-BE49-F238E27FC236}">
              <a16:creationId xmlns:a16="http://schemas.microsoft.com/office/drawing/2014/main" id="{BB122B23-FCDF-4E8E-99D6-C82986A10A1F}"/>
            </a:ext>
          </a:extLst>
        </xdr:cNvPr>
        <xdr:cNvSpPr>
          <a:spLocks noChangeAspect="1" noChangeArrowheads="1"/>
        </xdr:cNvSpPr>
      </xdr:nvSpPr>
      <xdr:spPr bwMode="auto">
        <a:xfrm>
          <a:off x="2294283" y="4977848"/>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81936"/>
    <xdr:sp macro="" textlink="">
      <xdr:nvSpPr>
        <xdr:cNvPr id="994" name="AutoShape 148" descr="+">
          <a:extLst>
            <a:ext uri="{FF2B5EF4-FFF2-40B4-BE49-F238E27FC236}">
              <a16:creationId xmlns:a16="http://schemas.microsoft.com/office/drawing/2014/main" id="{9CAE0A29-86F1-43FC-B597-493356632706}"/>
            </a:ext>
          </a:extLst>
        </xdr:cNvPr>
        <xdr:cNvSpPr>
          <a:spLocks noChangeAspect="1" noChangeArrowheads="1"/>
        </xdr:cNvSpPr>
      </xdr:nvSpPr>
      <xdr:spPr bwMode="auto">
        <a:xfrm>
          <a:off x="2294283" y="4977848"/>
          <a:ext cx="304800" cy="18193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91460"/>
    <xdr:sp macro="" textlink="">
      <xdr:nvSpPr>
        <xdr:cNvPr id="995" name="AutoShape 149" descr="+">
          <a:extLst>
            <a:ext uri="{FF2B5EF4-FFF2-40B4-BE49-F238E27FC236}">
              <a16:creationId xmlns:a16="http://schemas.microsoft.com/office/drawing/2014/main" id="{F3386796-D78A-43F9-B8F7-DB86D1407620}"/>
            </a:ext>
          </a:extLst>
        </xdr:cNvPr>
        <xdr:cNvSpPr>
          <a:spLocks noChangeAspect="1" noChangeArrowheads="1"/>
        </xdr:cNvSpPr>
      </xdr:nvSpPr>
      <xdr:spPr bwMode="auto">
        <a:xfrm>
          <a:off x="2294283" y="4977848"/>
          <a:ext cx="304800" cy="19146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0"/>
    <xdr:sp macro="" textlink="">
      <xdr:nvSpPr>
        <xdr:cNvPr id="996" name="AutoShape 150" descr="+">
          <a:extLst>
            <a:ext uri="{FF2B5EF4-FFF2-40B4-BE49-F238E27FC236}">
              <a16:creationId xmlns:a16="http://schemas.microsoft.com/office/drawing/2014/main" id="{08E786E0-CCBB-45C5-A3D6-9B8C9F269A67}"/>
            </a:ext>
          </a:extLst>
        </xdr:cNvPr>
        <xdr:cNvSpPr>
          <a:spLocks noChangeAspect="1" noChangeArrowheads="1"/>
        </xdr:cNvSpPr>
      </xdr:nvSpPr>
      <xdr:spPr bwMode="auto">
        <a:xfrm>
          <a:off x="2294283" y="4977848"/>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2"/>
    <xdr:sp macro="" textlink="">
      <xdr:nvSpPr>
        <xdr:cNvPr id="997" name="AutoShape 151" descr="+">
          <a:extLst>
            <a:ext uri="{FF2B5EF4-FFF2-40B4-BE49-F238E27FC236}">
              <a16:creationId xmlns:a16="http://schemas.microsoft.com/office/drawing/2014/main" id="{4BC3CB6E-729F-47BC-A9ED-9C0D184C3FD7}"/>
            </a:ext>
          </a:extLst>
        </xdr:cNvPr>
        <xdr:cNvSpPr>
          <a:spLocks noChangeAspect="1" noChangeArrowheads="1"/>
        </xdr:cNvSpPr>
      </xdr:nvSpPr>
      <xdr:spPr bwMode="auto">
        <a:xfrm>
          <a:off x="2294283" y="4977848"/>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2"/>
    <xdr:sp macro="" textlink="">
      <xdr:nvSpPr>
        <xdr:cNvPr id="998" name="AutoShape 152" descr="+">
          <a:extLst>
            <a:ext uri="{FF2B5EF4-FFF2-40B4-BE49-F238E27FC236}">
              <a16:creationId xmlns:a16="http://schemas.microsoft.com/office/drawing/2014/main" id="{9B6432F4-F254-42FF-A936-50F12CC74B56}"/>
            </a:ext>
          </a:extLst>
        </xdr:cNvPr>
        <xdr:cNvSpPr>
          <a:spLocks noChangeAspect="1" noChangeArrowheads="1"/>
        </xdr:cNvSpPr>
      </xdr:nvSpPr>
      <xdr:spPr bwMode="auto">
        <a:xfrm>
          <a:off x="2294283" y="4977848"/>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381"/>
    <xdr:sp macro="" textlink="">
      <xdr:nvSpPr>
        <xdr:cNvPr id="999" name="AutoShape 153" descr="+">
          <a:extLst>
            <a:ext uri="{FF2B5EF4-FFF2-40B4-BE49-F238E27FC236}">
              <a16:creationId xmlns:a16="http://schemas.microsoft.com/office/drawing/2014/main" id="{0EB51911-F67F-4542-A1E0-FBC21A15A232}"/>
            </a:ext>
          </a:extLst>
        </xdr:cNvPr>
        <xdr:cNvSpPr>
          <a:spLocks noChangeAspect="1" noChangeArrowheads="1"/>
        </xdr:cNvSpPr>
      </xdr:nvSpPr>
      <xdr:spPr bwMode="auto">
        <a:xfrm>
          <a:off x="2294283" y="4977848"/>
          <a:ext cx="304800" cy="30438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72410"/>
    <xdr:sp macro="" textlink="">
      <xdr:nvSpPr>
        <xdr:cNvPr id="1000" name="AutoShape 154" descr="+">
          <a:extLst>
            <a:ext uri="{FF2B5EF4-FFF2-40B4-BE49-F238E27FC236}">
              <a16:creationId xmlns:a16="http://schemas.microsoft.com/office/drawing/2014/main" id="{701F3714-1F63-4CDB-82A5-601949CD4F8E}"/>
            </a:ext>
          </a:extLst>
        </xdr:cNvPr>
        <xdr:cNvSpPr>
          <a:spLocks noChangeAspect="1" noChangeArrowheads="1"/>
        </xdr:cNvSpPr>
      </xdr:nvSpPr>
      <xdr:spPr bwMode="auto">
        <a:xfrm>
          <a:off x="2294283" y="4977848"/>
          <a:ext cx="304800" cy="1724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0"/>
    <xdr:sp macro="" textlink="">
      <xdr:nvSpPr>
        <xdr:cNvPr id="1001" name="AutoShape 155" descr="+">
          <a:extLst>
            <a:ext uri="{FF2B5EF4-FFF2-40B4-BE49-F238E27FC236}">
              <a16:creationId xmlns:a16="http://schemas.microsoft.com/office/drawing/2014/main" id="{CD199F15-50B7-4101-84CB-AA4AE443C153}"/>
            </a:ext>
          </a:extLst>
        </xdr:cNvPr>
        <xdr:cNvSpPr>
          <a:spLocks noChangeAspect="1" noChangeArrowheads="1"/>
        </xdr:cNvSpPr>
      </xdr:nvSpPr>
      <xdr:spPr bwMode="auto">
        <a:xfrm>
          <a:off x="2294283" y="4977848"/>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04110"/>
    <xdr:sp macro="" textlink="">
      <xdr:nvSpPr>
        <xdr:cNvPr id="1002" name="AutoShape 156" descr="+">
          <a:extLst>
            <a:ext uri="{FF2B5EF4-FFF2-40B4-BE49-F238E27FC236}">
              <a16:creationId xmlns:a16="http://schemas.microsoft.com/office/drawing/2014/main" id="{11D8A473-208B-4FBC-A922-263DC553646D}"/>
            </a:ext>
          </a:extLst>
        </xdr:cNvPr>
        <xdr:cNvSpPr>
          <a:spLocks noChangeAspect="1" noChangeArrowheads="1"/>
        </xdr:cNvSpPr>
      </xdr:nvSpPr>
      <xdr:spPr bwMode="auto">
        <a:xfrm>
          <a:off x="2294283" y="4977848"/>
          <a:ext cx="304800" cy="2041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04112"/>
    <xdr:sp macro="" textlink="">
      <xdr:nvSpPr>
        <xdr:cNvPr id="1003" name="AutoShape 157" descr="+">
          <a:extLst>
            <a:ext uri="{FF2B5EF4-FFF2-40B4-BE49-F238E27FC236}">
              <a16:creationId xmlns:a16="http://schemas.microsoft.com/office/drawing/2014/main" id="{8E53C84C-2727-44D4-9245-5BEA3675E599}"/>
            </a:ext>
          </a:extLst>
        </xdr:cNvPr>
        <xdr:cNvSpPr>
          <a:spLocks noChangeAspect="1" noChangeArrowheads="1"/>
        </xdr:cNvSpPr>
      </xdr:nvSpPr>
      <xdr:spPr bwMode="auto">
        <a:xfrm>
          <a:off x="2294283" y="4977848"/>
          <a:ext cx="304800" cy="2041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71730"/>
    <xdr:sp macro="" textlink="">
      <xdr:nvSpPr>
        <xdr:cNvPr id="1004" name="AutoShape 158" descr="+">
          <a:extLst>
            <a:ext uri="{FF2B5EF4-FFF2-40B4-BE49-F238E27FC236}">
              <a16:creationId xmlns:a16="http://schemas.microsoft.com/office/drawing/2014/main" id="{68C32D8B-969B-4132-BC09-3B4E51A023D8}"/>
            </a:ext>
          </a:extLst>
        </xdr:cNvPr>
        <xdr:cNvSpPr>
          <a:spLocks noChangeAspect="1" noChangeArrowheads="1"/>
        </xdr:cNvSpPr>
      </xdr:nvSpPr>
      <xdr:spPr bwMode="auto">
        <a:xfrm>
          <a:off x="2294283" y="4977848"/>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71731"/>
    <xdr:sp macro="" textlink="">
      <xdr:nvSpPr>
        <xdr:cNvPr id="1005" name="AutoShape 159" descr="+">
          <a:extLst>
            <a:ext uri="{FF2B5EF4-FFF2-40B4-BE49-F238E27FC236}">
              <a16:creationId xmlns:a16="http://schemas.microsoft.com/office/drawing/2014/main" id="{E1AE6A19-C8B2-4022-A4B2-F4794D68C211}"/>
            </a:ext>
          </a:extLst>
        </xdr:cNvPr>
        <xdr:cNvSpPr>
          <a:spLocks noChangeAspect="1" noChangeArrowheads="1"/>
        </xdr:cNvSpPr>
      </xdr:nvSpPr>
      <xdr:spPr bwMode="auto">
        <a:xfrm>
          <a:off x="2294283" y="4977848"/>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86696"/>
    <xdr:sp macro="" textlink="">
      <xdr:nvSpPr>
        <xdr:cNvPr id="1006" name="AutoShape 160" descr="+">
          <a:extLst>
            <a:ext uri="{FF2B5EF4-FFF2-40B4-BE49-F238E27FC236}">
              <a16:creationId xmlns:a16="http://schemas.microsoft.com/office/drawing/2014/main" id="{EC7A7AD2-5805-4BAB-A296-5B3E24D8CD98}"/>
            </a:ext>
          </a:extLst>
        </xdr:cNvPr>
        <xdr:cNvSpPr>
          <a:spLocks noChangeAspect="1" noChangeArrowheads="1"/>
        </xdr:cNvSpPr>
      </xdr:nvSpPr>
      <xdr:spPr bwMode="auto">
        <a:xfrm>
          <a:off x="2294283" y="4977848"/>
          <a:ext cx="304800" cy="18669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71732"/>
    <xdr:sp macro="" textlink="">
      <xdr:nvSpPr>
        <xdr:cNvPr id="1007" name="AutoShape 161" descr="+">
          <a:extLst>
            <a:ext uri="{FF2B5EF4-FFF2-40B4-BE49-F238E27FC236}">
              <a16:creationId xmlns:a16="http://schemas.microsoft.com/office/drawing/2014/main" id="{AFFDA764-1133-4411-92B0-C20E272E4C47}"/>
            </a:ext>
          </a:extLst>
        </xdr:cNvPr>
        <xdr:cNvSpPr>
          <a:spLocks noChangeAspect="1" noChangeArrowheads="1"/>
        </xdr:cNvSpPr>
      </xdr:nvSpPr>
      <xdr:spPr bwMode="auto">
        <a:xfrm>
          <a:off x="2294283" y="4977848"/>
          <a:ext cx="304800" cy="17173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0"/>
    <xdr:sp macro="" textlink="">
      <xdr:nvSpPr>
        <xdr:cNvPr id="1008" name="AutoShape 162" descr="+">
          <a:extLst>
            <a:ext uri="{FF2B5EF4-FFF2-40B4-BE49-F238E27FC236}">
              <a16:creationId xmlns:a16="http://schemas.microsoft.com/office/drawing/2014/main" id="{495CD5D2-4BAC-4313-8762-F5B40B4A6360}"/>
            </a:ext>
          </a:extLst>
        </xdr:cNvPr>
        <xdr:cNvSpPr>
          <a:spLocks noChangeAspect="1" noChangeArrowheads="1"/>
        </xdr:cNvSpPr>
      </xdr:nvSpPr>
      <xdr:spPr bwMode="auto">
        <a:xfrm>
          <a:off x="2294283" y="4977848"/>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2"/>
    <xdr:sp macro="" textlink="">
      <xdr:nvSpPr>
        <xdr:cNvPr id="1009" name="AutoShape 163" descr="+">
          <a:extLst>
            <a:ext uri="{FF2B5EF4-FFF2-40B4-BE49-F238E27FC236}">
              <a16:creationId xmlns:a16="http://schemas.microsoft.com/office/drawing/2014/main" id="{D9CB4FD5-63CB-40B9-92F4-EB3CC6FA837E}"/>
            </a:ext>
          </a:extLst>
        </xdr:cNvPr>
        <xdr:cNvSpPr>
          <a:spLocks noChangeAspect="1" noChangeArrowheads="1"/>
        </xdr:cNvSpPr>
      </xdr:nvSpPr>
      <xdr:spPr bwMode="auto">
        <a:xfrm>
          <a:off x="2294283" y="4977848"/>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91460"/>
    <xdr:sp macro="" textlink="">
      <xdr:nvSpPr>
        <xdr:cNvPr id="1010" name="AutoShape 164" descr="+">
          <a:extLst>
            <a:ext uri="{FF2B5EF4-FFF2-40B4-BE49-F238E27FC236}">
              <a16:creationId xmlns:a16="http://schemas.microsoft.com/office/drawing/2014/main" id="{4D1CBA88-F395-4B78-8D65-02E1624B010C}"/>
            </a:ext>
          </a:extLst>
        </xdr:cNvPr>
        <xdr:cNvSpPr>
          <a:spLocks noChangeAspect="1" noChangeArrowheads="1"/>
        </xdr:cNvSpPr>
      </xdr:nvSpPr>
      <xdr:spPr bwMode="auto">
        <a:xfrm>
          <a:off x="2294283" y="4977848"/>
          <a:ext cx="304800" cy="19146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0"/>
    <xdr:sp macro="" textlink="">
      <xdr:nvSpPr>
        <xdr:cNvPr id="1011" name="AutoShape 165" descr="+">
          <a:extLst>
            <a:ext uri="{FF2B5EF4-FFF2-40B4-BE49-F238E27FC236}">
              <a16:creationId xmlns:a16="http://schemas.microsoft.com/office/drawing/2014/main" id="{7DCCC542-6071-422C-93BE-CEEAB14FE034}"/>
            </a:ext>
          </a:extLst>
        </xdr:cNvPr>
        <xdr:cNvSpPr>
          <a:spLocks noChangeAspect="1" noChangeArrowheads="1"/>
        </xdr:cNvSpPr>
      </xdr:nvSpPr>
      <xdr:spPr bwMode="auto">
        <a:xfrm>
          <a:off x="2294283" y="4977848"/>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0"/>
    <xdr:sp macro="" textlink="">
      <xdr:nvSpPr>
        <xdr:cNvPr id="1012" name="AutoShape 166" descr="+">
          <a:extLst>
            <a:ext uri="{FF2B5EF4-FFF2-40B4-BE49-F238E27FC236}">
              <a16:creationId xmlns:a16="http://schemas.microsoft.com/office/drawing/2014/main" id="{B06E691D-540C-4119-A8AB-6FE6325223B3}"/>
            </a:ext>
          </a:extLst>
        </xdr:cNvPr>
        <xdr:cNvSpPr>
          <a:spLocks noChangeAspect="1" noChangeArrowheads="1"/>
        </xdr:cNvSpPr>
      </xdr:nvSpPr>
      <xdr:spPr bwMode="auto">
        <a:xfrm>
          <a:off x="2294283" y="4977848"/>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3"/>
    <xdr:sp macro="" textlink="">
      <xdr:nvSpPr>
        <xdr:cNvPr id="1013" name="AutoShape 167" descr="+">
          <a:extLst>
            <a:ext uri="{FF2B5EF4-FFF2-40B4-BE49-F238E27FC236}">
              <a16:creationId xmlns:a16="http://schemas.microsoft.com/office/drawing/2014/main" id="{AB2F0FB8-BC04-48AD-8349-FA144B06BFC2}"/>
            </a:ext>
          </a:extLst>
        </xdr:cNvPr>
        <xdr:cNvSpPr>
          <a:spLocks noChangeAspect="1" noChangeArrowheads="1"/>
        </xdr:cNvSpPr>
      </xdr:nvSpPr>
      <xdr:spPr bwMode="auto">
        <a:xfrm>
          <a:off x="2294283" y="4977848"/>
          <a:ext cx="304800" cy="2105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8470"/>
    <xdr:sp macro="" textlink="">
      <xdr:nvSpPr>
        <xdr:cNvPr id="1014" name="AutoShape 168" descr="+">
          <a:extLst>
            <a:ext uri="{FF2B5EF4-FFF2-40B4-BE49-F238E27FC236}">
              <a16:creationId xmlns:a16="http://schemas.microsoft.com/office/drawing/2014/main" id="{B0757917-EEB0-48C3-89FC-2B8A4C734851}"/>
            </a:ext>
          </a:extLst>
        </xdr:cNvPr>
        <xdr:cNvSpPr>
          <a:spLocks noChangeAspect="1" noChangeArrowheads="1"/>
        </xdr:cNvSpPr>
      </xdr:nvSpPr>
      <xdr:spPr bwMode="auto">
        <a:xfrm>
          <a:off x="2294283" y="4977848"/>
          <a:ext cx="304800" cy="3084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75533"/>
    <xdr:sp macro="" textlink="">
      <xdr:nvSpPr>
        <xdr:cNvPr id="1015" name="AutoShape 169" descr="+">
          <a:extLst>
            <a:ext uri="{FF2B5EF4-FFF2-40B4-BE49-F238E27FC236}">
              <a16:creationId xmlns:a16="http://schemas.microsoft.com/office/drawing/2014/main" id="{B4B2B4E6-8479-4FBA-A214-A2D497C432F9}"/>
            </a:ext>
          </a:extLst>
        </xdr:cNvPr>
        <xdr:cNvSpPr>
          <a:spLocks noChangeAspect="1" noChangeArrowheads="1"/>
        </xdr:cNvSpPr>
      </xdr:nvSpPr>
      <xdr:spPr bwMode="auto">
        <a:xfrm>
          <a:off x="2294283" y="4977848"/>
          <a:ext cx="304800" cy="17553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04106"/>
    <xdr:sp macro="" textlink="">
      <xdr:nvSpPr>
        <xdr:cNvPr id="1016" name="AutoShape 170" descr="+">
          <a:extLst>
            <a:ext uri="{FF2B5EF4-FFF2-40B4-BE49-F238E27FC236}">
              <a16:creationId xmlns:a16="http://schemas.microsoft.com/office/drawing/2014/main" id="{479CB117-905A-46F8-8807-2FC1BF0808D1}"/>
            </a:ext>
          </a:extLst>
        </xdr:cNvPr>
        <xdr:cNvSpPr>
          <a:spLocks noChangeAspect="1" noChangeArrowheads="1"/>
        </xdr:cNvSpPr>
      </xdr:nvSpPr>
      <xdr:spPr bwMode="auto">
        <a:xfrm>
          <a:off x="2294283" y="4977848"/>
          <a:ext cx="304800" cy="20410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8468"/>
    <xdr:sp macro="" textlink="">
      <xdr:nvSpPr>
        <xdr:cNvPr id="1017" name="AutoShape 171" descr="+">
          <a:extLst>
            <a:ext uri="{FF2B5EF4-FFF2-40B4-BE49-F238E27FC236}">
              <a16:creationId xmlns:a16="http://schemas.microsoft.com/office/drawing/2014/main" id="{8B32F27E-B699-4303-966F-4274BCC6EA37}"/>
            </a:ext>
          </a:extLst>
        </xdr:cNvPr>
        <xdr:cNvSpPr>
          <a:spLocks noChangeAspect="1" noChangeArrowheads="1"/>
        </xdr:cNvSpPr>
      </xdr:nvSpPr>
      <xdr:spPr bwMode="auto">
        <a:xfrm>
          <a:off x="2294283" y="4977848"/>
          <a:ext cx="304800" cy="30846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04108"/>
    <xdr:sp macro="" textlink="">
      <xdr:nvSpPr>
        <xdr:cNvPr id="1018" name="AutoShape 172" descr="+">
          <a:extLst>
            <a:ext uri="{FF2B5EF4-FFF2-40B4-BE49-F238E27FC236}">
              <a16:creationId xmlns:a16="http://schemas.microsoft.com/office/drawing/2014/main" id="{E258D7F6-448D-4C37-BC52-CA425A9A96AA}"/>
            </a:ext>
          </a:extLst>
        </xdr:cNvPr>
        <xdr:cNvSpPr>
          <a:spLocks noChangeAspect="1" noChangeArrowheads="1"/>
        </xdr:cNvSpPr>
      </xdr:nvSpPr>
      <xdr:spPr bwMode="auto">
        <a:xfrm>
          <a:off x="2294283" y="4977848"/>
          <a:ext cx="304800" cy="20410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71730"/>
    <xdr:sp macro="" textlink="">
      <xdr:nvSpPr>
        <xdr:cNvPr id="1019" name="AutoShape 173" descr="+">
          <a:extLst>
            <a:ext uri="{FF2B5EF4-FFF2-40B4-BE49-F238E27FC236}">
              <a16:creationId xmlns:a16="http://schemas.microsoft.com/office/drawing/2014/main" id="{32A034BB-156C-4738-870E-2E1977DC5AB6}"/>
            </a:ext>
          </a:extLst>
        </xdr:cNvPr>
        <xdr:cNvSpPr>
          <a:spLocks noChangeAspect="1" noChangeArrowheads="1"/>
        </xdr:cNvSpPr>
      </xdr:nvSpPr>
      <xdr:spPr bwMode="auto">
        <a:xfrm>
          <a:off x="2294283" y="4977848"/>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73131"/>
    <xdr:sp macro="" textlink="">
      <xdr:nvSpPr>
        <xdr:cNvPr id="1020" name="AutoShape 174" descr="+">
          <a:extLst>
            <a:ext uri="{FF2B5EF4-FFF2-40B4-BE49-F238E27FC236}">
              <a16:creationId xmlns:a16="http://schemas.microsoft.com/office/drawing/2014/main" id="{17C4AF83-8CFD-46D1-9B9D-5C26426E09BD}"/>
            </a:ext>
          </a:extLst>
        </xdr:cNvPr>
        <xdr:cNvSpPr>
          <a:spLocks noChangeAspect="1" noChangeArrowheads="1"/>
        </xdr:cNvSpPr>
      </xdr:nvSpPr>
      <xdr:spPr bwMode="auto">
        <a:xfrm>
          <a:off x="2294283" y="4977848"/>
          <a:ext cx="304800" cy="1731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71730"/>
    <xdr:sp macro="" textlink="">
      <xdr:nvSpPr>
        <xdr:cNvPr id="1021" name="AutoShape 175" descr="+">
          <a:extLst>
            <a:ext uri="{FF2B5EF4-FFF2-40B4-BE49-F238E27FC236}">
              <a16:creationId xmlns:a16="http://schemas.microsoft.com/office/drawing/2014/main" id="{0AD3F06D-FD51-4F49-8D37-E762B68F9337}"/>
            </a:ext>
          </a:extLst>
        </xdr:cNvPr>
        <xdr:cNvSpPr>
          <a:spLocks noChangeAspect="1" noChangeArrowheads="1"/>
        </xdr:cNvSpPr>
      </xdr:nvSpPr>
      <xdr:spPr bwMode="auto">
        <a:xfrm>
          <a:off x="2294283" y="4977848"/>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09"/>
    <xdr:sp macro="" textlink="">
      <xdr:nvSpPr>
        <xdr:cNvPr id="1022" name="AutoShape 176" descr="+">
          <a:extLst>
            <a:ext uri="{FF2B5EF4-FFF2-40B4-BE49-F238E27FC236}">
              <a16:creationId xmlns:a16="http://schemas.microsoft.com/office/drawing/2014/main" id="{B6C48A67-DBC1-4AAB-804F-F62C8D415696}"/>
            </a:ext>
          </a:extLst>
        </xdr:cNvPr>
        <xdr:cNvSpPr>
          <a:spLocks noChangeAspect="1" noChangeArrowheads="1"/>
        </xdr:cNvSpPr>
      </xdr:nvSpPr>
      <xdr:spPr bwMode="auto">
        <a:xfrm>
          <a:off x="2294283" y="4977848"/>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2"/>
    <xdr:sp macro="" textlink="">
      <xdr:nvSpPr>
        <xdr:cNvPr id="1023" name="AutoShape 177" descr="+">
          <a:extLst>
            <a:ext uri="{FF2B5EF4-FFF2-40B4-BE49-F238E27FC236}">
              <a16:creationId xmlns:a16="http://schemas.microsoft.com/office/drawing/2014/main" id="{A7693366-4525-4DCA-A90B-8ECF93E3ACB9}"/>
            </a:ext>
          </a:extLst>
        </xdr:cNvPr>
        <xdr:cNvSpPr>
          <a:spLocks noChangeAspect="1" noChangeArrowheads="1"/>
        </xdr:cNvSpPr>
      </xdr:nvSpPr>
      <xdr:spPr bwMode="auto">
        <a:xfrm>
          <a:off x="2294283" y="4977848"/>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2"/>
    <xdr:sp macro="" textlink="">
      <xdr:nvSpPr>
        <xdr:cNvPr id="1024" name="AutoShape 178" descr="+">
          <a:extLst>
            <a:ext uri="{FF2B5EF4-FFF2-40B4-BE49-F238E27FC236}">
              <a16:creationId xmlns:a16="http://schemas.microsoft.com/office/drawing/2014/main" id="{158F773B-25DA-435C-9EB1-5205DF1DE754}"/>
            </a:ext>
          </a:extLst>
        </xdr:cNvPr>
        <xdr:cNvSpPr>
          <a:spLocks noChangeAspect="1" noChangeArrowheads="1"/>
        </xdr:cNvSpPr>
      </xdr:nvSpPr>
      <xdr:spPr bwMode="auto">
        <a:xfrm>
          <a:off x="2294283" y="4977848"/>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71730"/>
    <xdr:sp macro="" textlink="">
      <xdr:nvSpPr>
        <xdr:cNvPr id="1025" name="AutoShape 179" descr="+">
          <a:extLst>
            <a:ext uri="{FF2B5EF4-FFF2-40B4-BE49-F238E27FC236}">
              <a16:creationId xmlns:a16="http://schemas.microsoft.com/office/drawing/2014/main" id="{C5F90762-280A-4488-BC6D-179BA81D49A0}"/>
            </a:ext>
          </a:extLst>
        </xdr:cNvPr>
        <xdr:cNvSpPr>
          <a:spLocks noChangeAspect="1" noChangeArrowheads="1"/>
        </xdr:cNvSpPr>
      </xdr:nvSpPr>
      <xdr:spPr bwMode="auto">
        <a:xfrm>
          <a:off x="2294283" y="4977848"/>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91462"/>
    <xdr:sp macro="" textlink="">
      <xdr:nvSpPr>
        <xdr:cNvPr id="1026" name="AutoShape 180" descr="+">
          <a:extLst>
            <a:ext uri="{FF2B5EF4-FFF2-40B4-BE49-F238E27FC236}">
              <a16:creationId xmlns:a16="http://schemas.microsoft.com/office/drawing/2014/main" id="{AB7BF6CA-DB0E-4C2F-A31F-4F99E54D75F5}"/>
            </a:ext>
          </a:extLst>
        </xdr:cNvPr>
        <xdr:cNvSpPr>
          <a:spLocks noChangeAspect="1" noChangeArrowheads="1"/>
        </xdr:cNvSpPr>
      </xdr:nvSpPr>
      <xdr:spPr bwMode="auto">
        <a:xfrm>
          <a:off x="2294283" y="4977848"/>
          <a:ext cx="304800" cy="19146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08"/>
    <xdr:sp macro="" textlink="">
      <xdr:nvSpPr>
        <xdr:cNvPr id="1027" name="AutoShape 181" descr="+">
          <a:extLst>
            <a:ext uri="{FF2B5EF4-FFF2-40B4-BE49-F238E27FC236}">
              <a16:creationId xmlns:a16="http://schemas.microsoft.com/office/drawing/2014/main" id="{0FF8160A-96B5-4C7E-8718-92E23DACFA11}"/>
            </a:ext>
          </a:extLst>
        </xdr:cNvPr>
        <xdr:cNvSpPr>
          <a:spLocks noChangeAspect="1" noChangeArrowheads="1"/>
        </xdr:cNvSpPr>
      </xdr:nvSpPr>
      <xdr:spPr bwMode="auto">
        <a:xfrm>
          <a:off x="2294283" y="4977848"/>
          <a:ext cx="304800" cy="21050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9501"/>
    <xdr:sp macro="" textlink="">
      <xdr:nvSpPr>
        <xdr:cNvPr id="1028" name="AutoShape 182" descr="+">
          <a:extLst>
            <a:ext uri="{FF2B5EF4-FFF2-40B4-BE49-F238E27FC236}">
              <a16:creationId xmlns:a16="http://schemas.microsoft.com/office/drawing/2014/main" id="{62518B8C-E558-48B4-9703-D90A6B329A68}"/>
            </a:ext>
          </a:extLst>
        </xdr:cNvPr>
        <xdr:cNvSpPr>
          <a:spLocks noChangeAspect="1" noChangeArrowheads="1"/>
        </xdr:cNvSpPr>
      </xdr:nvSpPr>
      <xdr:spPr bwMode="auto">
        <a:xfrm>
          <a:off x="2294283" y="4977848"/>
          <a:ext cx="304800" cy="309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2"/>
    <xdr:sp macro="" textlink="">
      <xdr:nvSpPr>
        <xdr:cNvPr id="1029" name="AutoShape 183" descr="+">
          <a:extLst>
            <a:ext uri="{FF2B5EF4-FFF2-40B4-BE49-F238E27FC236}">
              <a16:creationId xmlns:a16="http://schemas.microsoft.com/office/drawing/2014/main" id="{6D8297C0-D053-49A3-ACEF-0188E43E3BEE}"/>
            </a:ext>
          </a:extLst>
        </xdr:cNvPr>
        <xdr:cNvSpPr>
          <a:spLocks noChangeAspect="1" noChangeArrowheads="1"/>
        </xdr:cNvSpPr>
      </xdr:nvSpPr>
      <xdr:spPr bwMode="auto">
        <a:xfrm>
          <a:off x="2294283" y="4977848"/>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2"/>
    <xdr:sp macro="" textlink="">
      <xdr:nvSpPr>
        <xdr:cNvPr id="1030" name="AutoShape 184" descr="+">
          <a:extLst>
            <a:ext uri="{FF2B5EF4-FFF2-40B4-BE49-F238E27FC236}">
              <a16:creationId xmlns:a16="http://schemas.microsoft.com/office/drawing/2014/main" id="{80B3F3AB-2D1F-499F-9916-666C7A98EC80}"/>
            </a:ext>
          </a:extLst>
        </xdr:cNvPr>
        <xdr:cNvSpPr>
          <a:spLocks noChangeAspect="1" noChangeArrowheads="1"/>
        </xdr:cNvSpPr>
      </xdr:nvSpPr>
      <xdr:spPr bwMode="auto">
        <a:xfrm>
          <a:off x="2294283" y="4977848"/>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04109"/>
    <xdr:sp macro="" textlink="">
      <xdr:nvSpPr>
        <xdr:cNvPr id="1031" name="AutoShape 185" descr="+">
          <a:extLst>
            <a:ext uri="{FF2B5EF4-FFF2-40B4-BE49-F238E27FC236}">
              <a16:creationId xmlns:a16="http://schemas.microsoft.com/office/drawing/2014/main" id="{7922FB13-CB5C-4265-80AD-26CF7B99244E}"/>
            </a:ext>
          </a:extLst>
        </xdr:cNvPr>
        <xdr:cNvSpPr>
          <a:spLocks noChangeAspect="1" noChangeArrowheads="1"/>
        </xdr:cNvSpPr>
      </xdr:nvSpPr>
      <xdr:spPr bwMode="auto">
        <a:xfrm>
          <a:off x="2294283" y="4977848"/>
          <a:ext cx="304800" cy="2041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76492"/>
    <xdr:sp macro="" textlink="">
      <xdr:nvSpPr>
        <xdr:cNvPr id="1032" name="AutoShape 186" descr="+">
          <a:extLst>
            <a:ext uri="{FF2B5EF4-FFF2-40B4-BE49-F238E27FC236}">
              <a16:creationId xmlns:a16="http://schemas.microsoft.com/office/drawing/2014/main" id="{0173B09B-4AF6-4FCF-81D4-219C3BE9FE0B}"/>
            </a:ext>
          </a:extLst>
        </xdr:cNvPr>
        <xdr:cNvSpPr>
          <a:spLocks noChangeAspect="1" noChangeArrowheads="1"/>
        </xdr:cNvSpPr>
      </xdr:nvSpPr>
      <xdr:spPr bwMode="auto">
        <a:xfrm>
          <a:off x="2294283" y="4977848"/>
          <a:ext cx="304800" cy="1764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71731"/>
    <xdr:sp macro="" textlink="">
      <xdr:nvSpPr>
        <xdr:cNvPr id="1033" name="AutoShape 187" descr="+">
          <a:extLst>
            <a:ext uri="{FF2B5EF4-FFF2-40B4-BE49-F238E27FC236}">
              <a16:creationId xmlns:a16="http://schemas.microsoft.com/office/drawing/2014/main" id="{9D64CA7B-8B31-4DE1-870A-A7604CFC88DF}"/>
            </a:ext>
          </a:extLst>
        </xdr:cNvPr>
        <xdr:cNvSpPr>
          <a:spLocks noChangeAspect="1" noChangeArrowheads="1"/>
        </xdr:cNvSpPr>
      </xdr:nvSpPr>
      <xdr:spPr bwMode="auto">
        <a:xfrm>
          <a:off x="2294283" y="4977848"/>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3"/>
    <xdr:sp macro="" textlink="">
      <xdr:nvSpPr>
        <xdr:cNvPr id="1034" name="AutoShape 188" descr="+">
          <a:extLst>
            <a:ext uri="{FF2B5EF4-FFF2-40B4-BE49-F238E27FC236}">
              <a16:creationId xmlns:a16="http://schemas.microsoft.com/office/drawing/2014/main" id="{E1C947FB-E3CE-46D5-B388-988302A52D99}"/>
            </a:ext>
          </a:extLst>
        </xdr:cNvPr>
        <xdr:cNvSpPr>
          <a:spLocks noChangeAspect="1" noChangeArrowheads="1"/>
        </xdr:cNvSpPr>
      </xdr:nvSpPr>
      <xdr:spPr bwMode="auto">
        <a:xfrm>
          <a:off x="2294283" y="4977848"/>
          <a:ext cx="304800" cy="2105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1"/>
    <xdr:sp macro="" textlink="">
      <xdr:nvSpPr>
        <xdr:cNvPr id="1035" name="AutoShape 189" descr="+">
          <a:extLst>
            <a:ext uri="{FF2B5EF4-FFF2-40B4-BE49-F238E27FC236}">
              <a16:creationId xmlns:a16="http://schemas.microsoft.com/office/drawing/2014/main" id="{D00F3E82-F77D-40D6-B174-F32B23BDA9C7}"/>
            </a:ext>
          </a:extLst>
        </xdr:cNvPr>
        <xdr:cNvSpPr>
          <a:spLocks noChangeAspect="1" noChangeArrowheads="1"/>
        </xdr:cNvSpPr>
      </xdr:nvSpPr>
      <xdr:spPr bwMode="auto">
        <a:xfrm>
          <a:off x="2294283" y="4977848"/>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72409"/>
    <xdr:sp macro="" textlink="">
      <xdr:nvSpPr>
        <xdr:cNvPr id="1036" name="AutoShape 190" descr="+">
          <a:extLst>
            <a:ext uri="{FF2B5EF4-FFF2-40B4-BE49-F238E27FC236}">
              <a16:creationId xmlns:a16="http://schemas.microsoft.com/office/drawing/2014/main" id="{E7E59C2B-12C4-47A3-9199-2B16BA08B24F}"/>
            </a:ext>
          </a:extLst>
        </xdr:cNvPr>
        <xdr:cNvSpPr>
          <a:spLocks noChangeAspect="1" noChangeArrowheads="1"/>
        </xdr:cNvSpPr>
      </xdr:nvSpPr>
      <xdr:spPr bwMode="auto">
        <a:xfrm>
          <a:off x="2294283" y="4977848"/>
          <a:ext cx="304800" cy="1724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1"/>
    <xdr:sp macro="" textlink="">
      <xdr:nvSpPr>
        <xdr:cNvPr id="1037" name="AutoShape 191" descr="+">
          <a:extLst>
            <a:ext uri="{FF2B5EF4-FFF2-40B4-BE49-F238E27FC236}">
              <a16:creationId xmlns:a16="http://schemas.microsoft.com/office/drawing/2014/main" id="{B7B54F70-ECF8-4F9F-A220-4F4706AB82C0}"/>
            </a:ext>
          </a:extLst>
        </xdr:cNvPr>
        <xdr:cNvSpPr>
          <a:spLocks noChangeAspect="1" noChangeArrowheads="1"/>
        </xdr:cNvSpPr>
      </xdr:nvSpPr>
      <xdr:spPr bwMode="auto">
        <a:xfrm>
          <a:off x="2294283" y="4977848"/>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76492"/>
    <xdr:sp macro="" textlink="">
      <xdr:nvSpPr>
        <xdr:cNvPr id="1038" name="AutoShape 192" descr="+">
          <a:extLst>
            <a:ext uri="{FF2B5EF4-FFF2-40B4-BE49-F238E27FC236}">
              <a16:creationId xmlns:a16="http://schemas.microsoft.com/office/drawing/2014/main" id="{72C4A671-7CC3-48FA-8F15-78D4B2930469}"/>
            </a:ext>
          </a:extLst>
        </xdr:cNvPr>
        <xdr:cNvSpPr>
          <a:spLocks noChangeAspect="1" noChangeArrowheads="1"/>
        </xdr:cNvSpPr>
      </xdr:nvSpPr>
      <xdr:spPr bwMode="auto">
        <a:xfrm>
          <a:off x="2294283" y="4977848"/>
          <a:ext cx="304800" cy="1764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2"/>
    <xdr:sp macro="" textlink="">
      <xdr:nvSpPr>
        <xdr:cNvPr id="1039" name="AutoShape 193" descr="+">
          <a:extLst>
            <a:ext uri="{FF2B5EF4-FFF2-40B4-BE49-F238E27FC236}">
              <a16:creationId xmlns:a16="http://schemas.microsoft.com/office/drawing/2014/main" id="{A007407D-7BB8-4907-906D-4D43B411D3AC}"/>
            </a:ext>
          </a:extLst>
        </xdr:cNvPr>
        <xdr:cNvSpPr>
          <a:spLocks noChangeAspect="1" noChangeArrowheads="1"/>
        </xdr:cNvSpPr>
      </xdr:nvSpPr>
      <xdr:spPr bwMode="auto">
        <a:xfrm>
          <a:off x="2294283" y="4977848"/>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2"/>
    <xdr:sp macro="" textlink="">
      <xdr:nvSpPr>
        <xdr:cNvPr id="1040" name="AutoShape 194" descr="+">
          <a:extLst>
            <a:ext uri="{FF2B5EF4-FFF2-40B4-BE49-F238E27FC236}">
              <a16:creationId xmlns:a16="http://schemas.microsoft.com/office/drawing/2014/main" id="{784F1344-02CE-49E4-A8AC-39E4F6F66D57}"/>
            </a:ext>
          </a:extLst>
        </xdr:cNvPr>
        <xdr:cNvSpPr>
          <a:spLocks noChangeAspect="1" noChangeArrowheads="1"/>
        </xdr:cNvSpPr>
      </xdr:nvSpPr>
      <xdr:spPr bwMode="auto">
        <a:xfrm>
          <a:off x="2294283" y="4977848"/>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81936"/>
    <xdr:sp macro="" textlink="">
      <xdr:nvSpPr>
        <xdr:cNvPr id="1041" name="AutoShape 195" descr="+">
          <a:extLst>
            <a:ext uri="{FF2B5EF4-FFF2-40B4-BE49-F238E27FC236}">
              <a16:creationId xmlns:a16="http://schemas.microsoft.com/office/drawing/2014/main" id="{559E5F33-049D-459A-B32D-E24285CB7550}"/>
            </a:ext>
          </a:extLst>
        </xdr:cNvPr>
        <xdr:cNvSpPr>
          <a:spLocks noChangeAspect="1" noChangeArrowheads="1"/>
        </xdr:cNvSpPr>
      </xdr:nvSpPr>
      <xdr:spPr bwMode="auto">
        <a:xfrm>
          <a:off x="2294283" y="4977848"/>
          <a:ext cx="304800" cy="18193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00704"/>
    <xdr:sp macro="" textlink="">
      <xdr:nvSpPr>
        <xdr:cNvPr id="1042" name="AutoShape 196" descr="+">
          <a:extLst>
            <a:ext uri="{FF2B5EF4-FFF2-40B4-BE49-F238E27FC236}">
              <a16:creationId xmlns:a16="http://schemas.microsoft.com/office/drawing/2014/main" id="{9B103E9F-ADF9-42BC-BB4B-AB60C441C8F5}"/>
            </a:ext>
          </a:extLst>
        </xdr:cNvPr>
        <xdr:cNvSpPr>
          <a:spLocks noChangeAspect="1" noChangeArrowheads="1"/>
        </xdr:cNvSpPr>
      </xdr:nvSpPr>
      <xdr:spPr bwMode="auto">
        <a:xfrm>
          <a:off x="2294283" y="4977848"/>
          <a:ext cx="304800" cy="20070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385"/>
    <xdr:sp macro="" textlink="">
      <xdr:nvSpPr>
        <xdr:cNvPr id="1043" name="AutoShape 197" descr="+">
          <a:extLst>
            <a:ext uri="{FF2B5EF4-FFF2-40B4-BE49-F238E27FC236}">
              <a16:creationId xmlns:a16="http://schemas.microsoft.com/office/drawing/2014/main" id="{8245443E-A497-40AD-9055-6A3D749B421D}"/>
            </a:ext>
          </a:extLst>
        </xdr:cNvPr>
        <xdr:cNvSpPr>
          <a:spLocks noChangeAspect="1" noChangeArrowheads="1"/>
        </xdr:cNvSpPr>
      </xdr:nvSpPr>
      <xdr:spPr bwMode="auto">
        <a:xfrm>
          <a:off x="2294283" y="4977848"/>
          <a:ext cx="304800" cy="3043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71730"/>
    <xdr:sp macro="" textlink="">
      <xdr:nvSpPr>
        <xdr:cNvPr id="1044" name="AutoShape 198" descr="+">
          <a:extLst>
            <a:ext uri="{FF2B5EF4-FFF2-40B4-BE49-F238E27FC236}">
              <a16:creationId xmlns:a16="http://schemas.microsoft.com/office/drawing/2014/main" id="{C21FF928-7A83-4DE5-A1B1-23BAD7277D38}"/>
            </a:ext>
          </a:extLst>
        </xdr:cNvPr>
        <xdr:cNvSpPr>
          <a:spLocks noChangeAspect="1" noChangeArrowheads="1"/>
        </xdr:cNvSpPr>
      </xdr:nvSpPr>
      <xdr:spPr bwMode="auto">
        <a:xfrm>
          <a:off x="2294283" y="4977848"/>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71732"/>
    <xdr:sp macro="" textlink="">
      <xdr:nvSpPr>
        <xdr:cNvPr id="1045" name="AutoShape 199" descr="+">
          <a:extLst>
            <a:ext uri="{FF2B5EF4-FFF2-40B4-BE49-F238E27FC236}">
              <a16:creationId xmlns:a16="http://schemas.microsoft.com/office/drawing/2014/main" id="{5AB6C2F6-3A8E-408C-A6F2-2B6B163B6396}"/>
            </a:ext>
          </a:extLst>
        </xdr:cNvPr>
        <xdr:cNvSpPr>
          <a:spLocks noChangeAspect="1" noChangeArrowheads="1"/>
        </xdr:cNvSpPr>
      </xdr:nvSpPr>
      <xdr:spPr bwMode="auto">
        <a:xfrm>
          <a:off x="2294283" y="4977848"/>
          <a:ext cx="304800" cy="17173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83470"/>
    <xdr:sp macro="" textlink="">
      <xdr:nvSpPr>
        <xdr:cNvPr id="1046" name="AutoShape 200" descr="+">
          <a:extLst>
            <a:ext uri="{FF2B5EF4-FFF2-40B4-BE49-F238E27FC236}">
              <a16:creationId xmlns:a16="http://schemas.microsoft.com/office/drawing/2014/main" id="{26C5D199-D121-47A1-9756-CE8D8D0291CE}"/>
            </a:ext>
          </a:extLst>
        </xdr:cNvPr>
        <xdr:cNvSpPr>
          <a:spLocks noChangeAspect="1" noChangeArrowheads="1"/>
        </xdr:cNvSpPr>
      </xdr:nvSpPr>
      <xdr:spPr bwMode="auto">
        <a:xfrm>
          <a:off x="2294283" y="4977848"/>
          <a:ext cx="304800" cy="1834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71731"/>
    <xdr:sp macro="" textlink="">
      <xdr:nvSpPr>
        <xdr:cNvPr id="1047" name="AutoShape 201" descr="+">
          <a:extLst>
            <a:ext uri="{FF2B5EF4-FFF2-40B4-BE49-F238E27FC236}">
              <a16:creationId xmlns:a16="http://schemas.microsoft.com/office/drawing/2014/main" id="{22BDFC26-1E2D-467C-8939-BFF34EA9F124}"/>
            </a:ext>
          </a:extLst>
        </xdr:cNvPr>
        <xdr:cNvSpPr>
          <a:spLocks noChangeAspect="1" noChangeArrowheads="1"/>
        </xdr:cNvSpPr>
      </xdr:nvSpPr>
      <xdr:spPr bwMode="auto">
        <a:xfrm>
          <a:off x="2294283" y="4977848"/>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2"/>
    <xdr:sp macro="" textlink="">
      <xdr:nvSpPr>
        <xdr:cNvPr id="1048" name="AutoShape 202" descr="+">
          <a:extLst>
            <a:ext uri="{FF2B5EF4-FFF2-40B4-BE49-F238E27FC236}">
              <a16:creationId xmlns:a16="http://schemas.microsoft.com/office/drawing/2014/main" id="{031B27D6-DDE6-45BD-B6B0-82FA4740EC48}"/>
            </a:ext>
          </a:extLst>
        </xdr:cNvPr>
        <xdr:cNvSpPr>
          <a:spLocks noChangeAspect="1" noChangeArrowheads="1"/>
        </xdr:cNvSpPr>
      </xdr:nvSpPr>
      <xdr:spPr bwMode="auto">
        <a:xfrm>
          <a:off x="2294283" y="4977848"/>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0"/>
    <xdr:sp macro="" textlink="">
      <xdr:nvSpPr>
        <xdr:cNvPr id="1049" name="AutoShape 203" descr="+">
          <a:extLst>
            <a:ext uri="{FF2B5EF4-FFF2-40B4-BE49-F238E27FC236}">
              <a16:creationId xmlns:a16="http://schemas.microsoft.com/office/drawing/2014/main" id="{1DA9B4BD-1B3C-40EF-93BD-FA7677CF55F0}"/>
            </a:ext>
          </a:extLst>
        </xdr:cNvPr>
        <xdr:cNvSpPr>
          <a:spLocks noChangeAspect="1" noChangeArrowheads="1"/>
        </xdr:cNvSpPr>
      </xdr:nvSpPr>
      <xdr:spPr bwMode="auto">
        <a:xfrm>
          <a:off x="2294283" y="4977848"/>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0"/>
    <xdr:sp macro="" textlink="">
      <xdr:nvSpPr>
        <xdr:cNvPr id="1050" name="AutoShape 204" descr="+">
          <a:extLst>
            <a:ext uri="{FF2B5EF4-FFF2-40B4-BE49-F238E27FC236}">
              <a16:creationId xmlns:a16="http://schemas.microsoft.com/office/drawing/2014/main" id="{F21C5248-8A54-4342-8E4E-E0BCDC107189}"/>
            </a:ext>
          </a:extLst>
        </xdr:cNvPr>
        <xdr:cNvSpPr>
          <a:spLocks noChangeAspect="1" noChangeArrowheads="1"/>
        </xdr:cNvSpPr>
      </xdr:nvSpPr>
      <xdr:spPr bwMode="auto">
        <a:xfrm>
          <a:off x="2294283" y="4977848"/>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2"/>
    <xdr:sp macro="" textlink="">
      <xdr:nvSpPr>
        <xdr:cNvPr id="1051" name="AutoShape 205" descr="+">
          <a:extLst>
            <a:ext uri="{FF2B5EF4-FFF2-40B4-BE49-F238E27FC236}">
              <a16:creationId xmlns:a16="http://schemas.microsoft.com/office/drawing/2014/main" id="{6A6C9F52-91EF-4370-9A46-7A13801231E8}"/>
            </a:ext>
          </a:extLst>
        </xdr:cNvPr>
        <xdr:cNvSpPr>
          <a:spLocks noChangeAspect="1" noChangeArrowheads="1"/>
        </xdr:cNvSpPr>
      </xdr:nvSpPr>
      <xdr:spPr bwMode="auto">
        <a:xfrm>
          <a:off x="2294283" y="4977848"/>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71730"/>
    <xdr:sp macro="" textlink="">
      <xdr:nvSpPr>
        <xdr:cNvPr id="1052" name="AutoShape 206" descr="+">
          <a:extLst>
            <a:ext uri="{FF2B5EF4-FFF2-40B4-BE49-F238E27FC236}">
              <a16:creationId xmlns:a16="http://schemas.microsoft.com/office/drawing/2014/main" id="{A0CE2028-8E0A-4BEA-A8D5-A3C5B60F365B}"/>
            </a:ext>
          </a:extLst>
        </xdr:cNvPr>
        <xdr:cNvSpPr>
          <a:spLocks noChangeAspect="1" noChangeArrowheads="1"/>
        </xdr:cNvSpPr>
      </xdr:nvSpPr>
      <xdr:spPr bwMode="auto">
        <a:xfrm>
          <a:off x="2294283" y="4977848"/>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81937"/>
    <xdr:sp macro="" textlink="">
      <xdr:nvSpPr>
        <xdr:cNvPr id="1053" name="AutoShape 207" descr="+">
          <a:extLst>
            <a:ext uri="{FF2B5EF4-FFF2-40B4-BE49-F238E27FC236}">
              <a16:creationId xmlns:a16="http://schemas.microsoft.com/office/drawing/2014/main" id="{CFB5326A-F8CC-4F34-BE6A-12CAFBC9D6A5}"/>
            </a:ext>
          </a:extLst>
        </xdr:cNvPr>
        <xdr:cNvSpPr>
          <a:spLocks noChangeAspect="1" noChangeArrowheads="1"/>
        </xdr:cNvSpPr>
      </xdr:nvSpPr>
      <xdr:spPr bwMode="auto">
        <a:xfrm>
          <a:off x="2294283" y="4977848"/>
          <a:ext cx="304800" cy="18193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1"/>
    <xdr:sp macro="" textlink="">
      <xdr:nvSpPr>
        <xdr:cNvPr id="1054" name="AutoShape 208" descr="+">
          <a:extLst>
            <a:ext uri="{FF2B5EF4-FFF2-40B4-BE49-F238E27FC236}">
              <a16:creationId xmlns:a16="http://schemas.microsoft.com/office/drawing/2014/main" id="{9A71786A-C5A1-4B84-B05B-831473D1090C}"/>
            </a:ext>
          </a:extLst>
        </xdr:cNvPr>
        <xdr:cNvSpPr>
          <a:spLocks noChangeAspect="1" noChangeArrowheads="1"/>
        </xdr:cNvSpPr>
      </xdr:nvSpPr>
      <xdr:spPr bwMode="auto">
        <a:xfrm>
          <a:off x="2294283" y="4977848"/>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09"/>
    <xdr:sp macro="" textlink="">
      <xdr:nvSpPr>
        <xdr:cNvPr id="1055" name="AutoShape 209" descr="+">
          <a:extLst>
            <a:ext uri="{FF2B5EF4-FFF2-40B4-BE49-F238E27FC236}">
              <a16:creationId xmlns:a16="http://schemas.microsoft.com/office/drawing/2014/main" id="{35F56B1A-AC43-4A97-A399-9C484BD9B11B}"/>
            </a:ext>
          </a:extLst>
        </xdr:cNvPr>
        <xdr:cNvSpPr>
          <a:spLocks noChangeAspect="1" noChangeArrowheads="1"/>
        </xdr:cNvSpPr>
      </xdr:nvSpPr>
      <xdr:spPr bwMode="auto">
        <a:xfrm>
          <a:off x="2294283" y="4977848"/>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91461"/>
    <xdr:sp macro="" textlink="">
      <xdr:nvSpPr>
        <xdr:cNvPr id="1056" name="AutoShape 210" descr="+">
          <a:extLst>
            <a:ext uri="{FF2B5EF4-FFF2-40B4-BE49-F238E27FC236}">
              <a16:creationId xmlns:a16="http://schemas.microsoft.com/office/drawing/2014/main" id="{BBB5C5A3-323C-450B-AADF-78240FB05A32}"/>
            </a:ext>
          </a:extLst>
        </xdr:cNvPr>
        <xdr:cNvSpPr>
          <a:spLocks noChangeAspect="1" noChangeArrowheads="1"/>
        </xdr:cNvSpPr>
      </xdr:nvSpPr>
      <xdr:spPr bwMode="auto">
        <a:xfrm>
          <a:off x="2294283" y="4977848"/>
          <a:ext cx="304800" cy="1914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385"/>
    <xdr:sp macro="" textlink="">
      <xdr:nvSpPr>
        <xdr:cNvPr id="1057" name="AutoShape 211" descr="+">
          <a:extLst>
            <a:ext uri="{FF2B5EF4-FFF2-40B4-BE49-F238E27FC236}">
              <a16:creationId xmlns:a16="http://schemas.microsoft.com/office/drawing/2014/main" id="{120540A4-3E34-4803-96AE-9B113C4148CA}"/>
            </a:ext>
          </a:extLst>
        </xdr:cNvPr>
        <xdr:cNvSpPr>
          <a:spLocks noChangeAspect="1" noChangeArrowheads="1"/>
        </xdr:cNvSpPr>
      </xdr:nvSpPr>
      <xdr:spPr bwMode="auto">
        <a:xfrm>
          <a:off x="2294283" y="4977848"/>
          <a:ext cx="304800" cy="30438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76415"/>
    <xdr:sp macro="" textlink="">
      <xdr:nvSpPr>
        <xdr:cNvPr id="1058" name="AutoShape 212" descr="+">
          <a:extLst>
            <a:ext uri="{FF2B5EF4-FFF2-40B4-BE49-F238E27FC236}">
              <a16:creationId xmlns:a16="http://schemas.microsoft.com/office/drawing/2014/main" id="{94E1CECE-9F56-48DC-A2DA-4A13348703A6}"/>
            </a:ext>
          </a:extLst>
        </xdr:cNvPr>
        <xdr:cNvSpPr>
          <a:spLocks noChangeAspect="1" noChangeArrowheads="1"/>
        </xdr:cNvSpPr>
      </xdr:nvSpPr>
      <xdr:spPr bwMode="auto">
        <a:xfrm>
          <a:off x="2294283" y="4977848"/>
          <a:ext cx="304800" cy="2764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73131"/>
    <xdr:sp macro="" textlink="">
      <xdr:nvSpPr>
        <xdr:cNvPr id="1059" name="AutoShape 213" descr="+">
          <a:extLst>
            <a:ext uri="{FF2B5EF4-FFF2-40B4-BE49-F238E27FC236}">
              <a16:creationId xmlns:a16="http://schemas.microsoft.com/office/drawing/2014/main" id="{9AB85BDB-72E0-4EB7-A3C3-5A16AE2BD845}"/>
            </a:ext>
          </a:extLst>
        </xdr:cNvPr>
        <xdr:cNvSpPr>
          <a:spLocks noChangeAspect="1" noChangeArrowheads="1"/>
        </xdr:cNvSpPr>
      </xdr:nvSpPr>
      <xdr:spPr bwMode="auto">
        <a:xfrm>
          <a:off x="2294283" y="4977848"/>
          <a:ext cx="304800" cy="1731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0"/>
    <xdr:sp macro="" textlink="">
      <xdr:nvSpPr>
        <xdr:cNvPr id="1060" name="AutoShape 214" descr="+">
          <a:extLst>
            <a:ext uri="{FF2B5EF4-FFF2-40B4-BE49-F238E27FC236}">
              <a16:creationId xmlns:a16="http://schemas.microsoft.com/office/drawing/2014/main" id="{EFDEF273-1EB4-41CA-9B71-0C71A5E80104}"/>
            </a:ext>
          </a:extLst>
        </xdr:cNvPr>
        <xdr:cNvSpPr>
          <a:spLocks noChangeAspect="1" noChangeArrowheads="1"/>
        </xdr:cNvSpPr>
      </xdr:nvSpPr>
      <xdr:spPr bwMode="auto">
        <a:xfrm>
          <a:off x="2294283" y="4977848"/>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2"/>
    <xdr:sp macro="" textlink="">
      <xdr:nvSpPr>
        <xdr:cNvPr id="1061" name="AutoShape 215" descr="+">
          <a:extLst>
            <a:ext uri="{FF2B5EF4-FFF2-40B4-BE49-F238E27FC236}">
              <a16:creationId xmlns:a16="http://schemas.microsoft.com/office/drawing/2014/main" id="{BAD1CFB5-0A0B-4BD6-A585-7A82FE99953E}"/>
            </a:ext>
          </a:extLst>
        </xdr:cNvPr>
        <xdr:cNvSpPr>
          <a:spLocks noChangeAspect="1" noChangeArrowheads="1"/>
        </xdr:cNvSpPr>
      </xdr:nvSpPr>
      <xdr:spPr bwMode="auto">
        <a:xfrm>
          <a:off x="2294283" y="4977848"/>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03090"/>
    <xdr:sp macro="" textlink="">
      <xdr:nvSpPr>
        <xdr:cNvPr id="1062" name="AutoShape 216" descr="+">
          <a:extLst>
            <a:ext uri="{FF2B5EF4-FFF2-40B4-BE49-F238E27FC236}">
              <a16:creationId xmlns:a16="http://schemas.microsoft.com/office/drawing/2014/main" id="{27701067-52D0-4C26-8C13-58E806C9DB93}"/>
            </a:ext>
          </a:extLst>
        </xdr:cNvPr>
        <xdr:cNvSpPr>
          <a:spLocks noChangeAspect="1" noChangeArrowheads="1"/>
        </xdr:cNvSpPr>
      </xdr:nvSpPr>
      <xdr:spPr bwMode="auto">
        <a:xfrm>
          <a:off x="2294283" y="4977848"/>
          <a:ext cx="304800" cy="20309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71730"/>
    <xdr:sp macro="" textlink="">
      <xdr:nvSpPr>
        <xdr:cNvPr id="1063" name="AutoShape 217" descr="+">
          <a:extLst>
            <a:ext uri="{FF2B5EF4-FFF2-40B4-BE49-F238E27FC236}">
              <a16:creationId xmlns:a16="http://schemas.microsoft.com/office/drawing/2014/main" id="{E5027E7A-6852-42C9-9CF5-49EE0CAD9726}"/>
            </a:ext>
          </a:extLst>
        </xdr:cNvPr>
        <xdr:cNvSpPr>
          <a:spLocks noChangeAspect="1" noChangeArrowheads="1"/>
        </xdr:cNvSpPr>
      </xdr:nvSpPr>
      <xdr:spPr bwMode="auto">
        <a:xfrm>
          <a:off x="2294283" y="4977848"/>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71731"/>
    <xdr:sp macro="" textlink="">
      <xdr:nvSpPr>
        <xdr:cNvPr id="1064" name="AutoShape 218" descr="+">
          <a:extLst>
            <a:ext uri="{FF2B5EF4-FFF2-40B4-BE49-F238E27FC236}">
              <a16:creationId xmlns:a16="http://schemas.microsoft.com/office/drawing/2014/main" id="{E258D6B4-B429-4DF0-8E34-31E16D4C5CC4}"/>
            </a:ext>
          </a:extLst>
        </xdr:cNvPr>
        <xdr:cNvSpPr>
          <a:spLocks noChangeAspect="1" noChangeArrowheads="1"/>
        </xdr:cNvSpPr>
      </xdr:nvSpPr>
      <xdr:spPr bwMode="auto">
        <a:xfrm>
          <a:off x="2294283" y="4977848"/>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86697"/>
    <xdr:sp macro="" textlink="">
      <xdr:nvSpPr>
        <xdr:cNvPr id="1065" name="AutoShape 219" descr="+">
          <a:extLst>
            <a:ext uri="{FF2B5EF4-FFF2-40B4-BE49-F238E27FC236}">
              <a16:creationId xmlns:a16="http://schemas.microsoft.com/office/drawing/2014/main" id="{C0F4B225-98A9-4374-989D-5D099E8FE60D}"/>
            </a:ext>
          </a:extLst>
        </xdr:cNvPr>
        <xdr:cNvSpPr>
          <a:spLocks noChangeAspect="1" noChangeArrowheads="1"/>
        </xdr:cNvSpPr>
      </xdr:nvSpPr>
      <xdr:spPr bwMode="auto">
        <a:xfrm>
          <a:off x="2294283" y="4977848"/>
          <a:ext cx="304800" cy="18669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71731"/>
    <xdr:sp macro="" textlink="">
      <xdr:nvSpPr>
        <xdr:cNvPr id="1066" name="AutoShape 220" descr="+">
          <a:extLst>
            <a:ext uri="{FF2B5EF4-FFF2-40B4-BE49-F238E27FC236}">
              <a16:creationId xmlns:a16="http://schemas.microsoft.com/office/drawing/2014/main" id="{35418CFB-4489-4E58-8D73-D7F061F177F9}"/>
            </a:ext>
          </a:extLst>
        </xdr:cNvPr>
        <xdr:cNvSpPr>
          <a:spLocks noChangeAspect="1" noChangeArrowheads="1"/>
        </xdr:cNvSpPr>
      </xdr:nvSpPr>
      <xdr:spPr bwMode="auto">
        <a:xfrm>
          <a:off x="2294283" y="4977848"/>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2"/>
    <xdr:sp macro="" textlink="">
      <xdr:nvSpPr>
        <xdr:cNvPr id="1067" name="AutoShape 221" descr="+">
          <a:extLst>
            <a:ext uri="{FF2B5EF4-FFF2-40B4-BE49-F238E27FC236}">
              <a16:creationId xmlns:a16="http://schemas.microsoft.com/office/drawing/2014/main" id="{EE57ACFF-A1A9-43CB-9B7C-57F16D53EBBC}"/>
            </a:ext>
          </a:extLst>
        </xdr:cNvPr>
        <xdr:cNvSpPr>
          <a:spLocks noChangeAspect="1" noChangeArrowheads="1"/>
        </xdr:cNvSpPr>
      </xdr:nvSpPr>
      <xdr:spPr bwMode="auto">
        <a:xfrm>
          <a:off x="2294283" y="4977848"/>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2"/>
    <xdr:sp macro="" textlink="">
      <xdr:nvSpPr>
        <xdr:cNvPr id="1068" name="AutoShape 222" descr="+">
          <a:extLst>
            <a:ext uri="{FF2B5EF4-FFF2-40B4-BE49-F238E27FC236}">
              <a16:creationId xmlns:a16="http://schemas.microsoft.com/office/drawing/2014/main" id="{882CAAFF-F203-4C77-A576-C5986E6BBDA5}"/>
            </a:ext>
          </a:extLst>
        </xdr:cNvPr>
        <xdr:cNvSpPr>
          <a:spLocks noChangeAspect="1" noChangeArrowheads="1"/>
        </xdr:cNvSpPr>
      </xdr:nvSpPr>
      <xdr:spPr bwMode="auto">
        <a:xfrm>
          <a:off x="2294283" y="4977848"/>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0"/>
    <xdr:sp macro="" textlink="">
      <xdr:nvSpPr>
        <xdr:cNvPr id="1069" name="AutoShape 223" descr="+">
          <a:extLst>
            <a:ext uri="{FF2B5EF4-FFF2-40B4-BE49-F238E27FC236}">
              <a16:creationId xmlns:a16="http://schemas.microsoft.com/office/drawing/2014/main" id="{87A8F716-63F0-42D9-A3C3-38238B6D1CC0}"/>
            </a:ext>
          </a:extLst>
        </xdr:cNvPr>
        <xdr:cNvSpPr>
          <a:spLocks noChangeAspect="1" noChangeArrowheads="1"/>
        </xdr:cNvSpPr>
      </xdr:nvSpPr>
      <xdr:spPr bwMode="auto">
        <a:xfrm>
          <a:off x="2294283" y="4977848"/>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0"/>
    <xdr:sp macro="" textlink="">
      <xdr:nvSpPr>
        <xdr:cNvPr id="1070" name="AutoShape 224" descr="+">
          <a:extLst>
            <a:ext uri="{FF2B5EF4-FFF2-40B4-BE49-F238E27FC236}">
              <a16:creationId xmlns:a16="http://schemas.microsoft.com/office/drawing/2014/main" id="{A11A28E5-059E-4F6A-BD0A-41E111A346F2}"/>
            </a:ext>
          </a:extLst>
        </xdr:cNvPr>
        <xdr:cNvSpPr>
          <a:spLocks noChangeAspect="1" noChangeArrowheads="1"/>
        </xdr:cNvSpPr>
      </xdr:nvSpPr>
      <xdr:spPr bwMode="auto">
        <a:xfrm>
          <a:off x="2294283" y="4977848"/>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91460"/>
    <xdr:sp macro="" textlink="">
      <xdr:nvSpPr>
        <xdr:cNvPr id="1071" name="AutoShape 225" descr="+">
          <a:extLst>
            <a:ext uri="{FF2B5EF4-FFF2-40B4-BE49-F238E27FC236}">
              <a16:creationId xmlns:a16="http://schemas.microsoft.com/office/drawing/2014/main" id="{AFF7502A-2594-4061-9036-2D6A994F5665}"/>
            </a:ext>
          </a:extLst>
        </xdr:cNvPr>
        <xdr:cNvSpPr>
          <a:spLocks noChangeAspect="1" noChangeArrowheads="1"/>
        </xdr:cNvSpPr>
      </xdr:nvSpPr>
      <xdr:spPr bwMode="auto">
        <a:xfrm>
          <a:off x="2294283" y="4977848"/>
          <a:ext cx="304800" cy="19146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387"/>
    <xdr:sp macro="" textlink="">
      <xdr:nvSpPr>
        <xdr:cNvPr id="1072" name="AutoShape 226" descr="+">
          <a:extLst>
            <a:ext uri="{FF2B5EF4-FFF2-40B4-BE49-F238E27FC236}">
              <a16:creationId xmlns:a16="http://schemas.microsoft.com/office/drawing/2014/main" id="{E52A1F76-ECF9-45C6-9CD2-B662E12A23A2}"/>
            </a:ext>
          </a:extLst>
        </xdr:cNvPr>
        <xdr:cNvSpPr>
          <a:spLocks noChangeAspect="1" noChangeArrowheads="1"/>
        </xdr:cNvSpPr>
      </xdr:nvSpPr>
      <xdr:spPr bwMode="auto">
        <a:xfrm>
          <a:off x="2294283" y="4977848"/>
          <a:ext cx="304800" cy="3043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0"/>
    <xdr:sp macro="" textlink="">
      <xdr:nvSpPr>
        <xdr:cNvPr id="1073" name="AutoShape 227" descr="+">
          <a:extLst>
            <a:ext uri="{FF2B5EF4-FFF2-40B4-BE49-F238E27FC236}">
              <a16:creationId xmlns:a16="http://schemas.microsoft.com/office/drawing/2014/main" id="{34D16156-785B-4A17-BC97-57FF6DEB607E}"/>
            </a:ext>
          </a:extLst>
        </xdr:cNvPr>
        <xdr:cNvSpPr>
          <a:spLocks noChangeAspect="1" noChangeArrowheads="1"/>
        </xdr:cNvSpPr>
      </xdr:nvSpPr>
      <xdr:spPr bwMode="auto">
        <a:xfrm>
          <a:off x="2294283" y="4977848"/>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1"/>
    <xdr:sp macro="" textlink="">
      <xdr:nvSpPr>
        <xdr:cNvPr id="1074" name="AutoShape 228" descr="+">
          <a:extLst>
            <a:ext uri="{FF2B5EF4-FFF2-40B4-BE49-F238E27FC236}">
              <a16:creationId xmlns:a16="http://schemas.microsoft.com/office/drawing/2014/main" id="{C3AEEA12-060B-4633-9BB8-E1EC2B9B6E53}"/>
            </a:ext>
          </a:extLst>
        </xdr:cNvPr>
        <xdr:cNvSpPr>
          <a:spLocks noChangeAspect="1" noChangeArrowheads="1"/>
        </xdr:cNvSpPr>
      </xdr:nvSpPr>
      <xdr:spPr bwMode="auto">
        <a:xfrm>
          <a:off x="2294283" y="4977848"/>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6064"/>
    <xdr:sp macro="" textlink="">
      <xdr:nvSpPr>
        <xdr:cNvPr id="1075" name="AutoShape 229" descr="+">
          <a:extLst>
            <a:ext uri="{FF2B5EF4-FFF2-40B4-BE49-F238E27FC236}">
              <a16:creationId xmlns:a16="http://schemas.microsoft.com/office/drawing/2014/main" id="{E9B81769-AD39-4CC1-B523-C5C981401B57}"/>
            </a:ext>
          </a:extLst>
        </xdr:cNvPr>
        <xdr:cNvSpPr>
          <a:spLocks noChangeAspect="1" noChangeArrowheads="1"/>
        </xdr:cNvSpPr>
      </xdr:nvSpPr>
      <xdr:spPr bwMode="auto">
        <a:xfrm>
          <a:off x="2294283" y="4977848"/>
          <a:ext cx="304800" cy="30606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386"/>
    <xdr:sp macro="" textlink="">
      <xdr:nvSpPr>
        <xdr:cNvPr id="1076" name="AutoShape 230" descr="+">
          <a:extLst>
            <a:ext uri="{FF2B5EF4-FFF2-40B4-BE49-F238E27FC236}">
              <a16:creationId xmlns:a16="http://schemas.microsoft.com/office/drawing/2014/main" id="{6F816F3B-3DE1-450A-9406-C6B2C4BA6C33}"/>
            </a:ext>
          </a:extLst>
        </xdr:cNvPr>
        <xdr:cNvSpPr>
          <a:spLocks noChangeAspect="1" noChangeArrowheads="1"/>
        </xdr:cNvSpPr>
      </xdr:nvSpPr>
      <xdr:spPr bwMode="auto">
        <a:xfrm>
          <a:off x="2294283" y="4977848"/>
          <a:ext cx="304800" cy="30438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71730"/>
    <xdr:sp macro="" textlink="">
      <xdr:nvSpPr>
        <xdr:cNvPr id="1077" name="AutoShape 231" descr="+">
          <a:extLst>
            <a:ext uri="{FF2B5EF4-FFF2-40B4-BE49-F238E27FC236}">
              <a16:creationId xmlns:a16="http://schemas.microsoft.com/office/drawing/2014/main" id="{262C1F24-1D6F-46FE-B963-39B10AF3C938}"/>
            </a:ext>
          </a:extLst>
        </xdr:cNvPr>
        <xdr:cNvSpPr>
          <a:spLocks noChangeAspect="1" noChangeArrowheads="1"/>
        </xdr:cNvSpPr>
      </xdr:nvSpPr>
      <xdr:spPr bwMode="auto">
        <a:xfrm>
          <a:off x="2294283" y="4977848"/>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81938"/>
    <xdr:sp macro="" textlink="">
      <xdr:nvSpPr>
        <xdr:cNvPr id="1078" name="AutoShape 232" descr="+">
          <a:extLst>
            <a:ext uri="{FF2B5EF4-FFF2-40B4-BE49-F238E27FC236}">
              <a16:creationId xmlns:a16="http://schemas.microsoft.com/office/drawing/2014/main" id="{1E011C05-9BAE-4121-9A3B-A0B45F62A7EA}"/>
            </a:ext>
          </a:extLst>
        </xdr:cNvPr>
        <xdr:cNvSpPr>
          <a:spLocks noChangeAspect="1" noChangeArrowheads="1"/>
        </xdr:cNvSpPr>
      </xdr:nvSpPr>
      <xdr:spPr bwMode="auto">
        <a:xfrm>
          <a:off x="2294283" y="4977848"/>
          <a:ext cx="304800" cy="1819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71730"/>
    <xdr:sp macro="" textlink="">
      <xdr:nvSpPr>
        <xdr:cNvPr id="1079" name="AutoShape 233" descr="+">
          <a:extLst>
            <a:ext uri="{FF2B5EF4-FFF2-40B4-BE49-F238E27FC236}">
              <a16:creationId xmlns:a16="http://schemas.microsoft.com/office/drawing/2014/main" id="{CB45512B-29BB-4375-B66D-E9E65A4EF927}"/>
            </a:ext>
          </a:extLst>
        </xdr:cNvPr>
        <xdr:cNvSpPr>
          <a:spLocks noChangeAspect="1" noChangeArrowheads="1"/>
        </xdr:cNvSpPr>
      </xdr:nvSpPr>
      <xdr:spPr bwMode="auto">
        <a:xfrm>
          <a:off x="2294283" y="4977848"/>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2"/>
    <xdr:sp macro="" textlink="">
      <xdr:nvSpPr>
        <xdr:cNvPr id="1080" name="AutoShape 234" descr="+">
          <a:extLst>
            <a:ext uri="{FF2B5EF4-FFF2-40B4-BE49-F238E27FC236}">
              <a16:creationId xmlns:a16="http://schemas.microsoft.com/office/drawing/2014/main" id="{92580C68-5025-4E3F-94C8-6A5C0478F66B}"/>
            </a:ext>
          </a:extLst>
        </xdr:cNvPr>
        <xdr:cNvSpPr>
          <a:spLocks noChangeAspect="1" noChangeArrowheads="1"/>
        </xdr:cNvSpPr>
      </xdr:nvSpPr>
      <xdr:spPr bwMode="auto">
        <a:xfrm>
          <a:off x="2294283" y="4977848"/>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09"/>
    <xdr:sp macro="" textlink="">
      <xdr:nvSpPr>
        <xdr:cNvPr id="1081" name="AutoShape 235" descr="+">
          <a:extLst>
            <a:ext uri="{FF2B5EF4-FFF2-40B4-BE49-F238E27FC236}">
              <a16:creationId xmlns:a16="http://schemas.microsoft.com/office/drawing/2014/main" id="{231F96A6-A35B-46C8-B410-E777C3AD66EB}"/>
            </a:ext>
          </a:extLst>
        </xdr:cNvPr>
        <xdr:cNvSpPr>
          <a:spLocks noChangeAspect="1" noChangeArrowheads="1"/>
        </xdr:cNvSpPr>
      </xdr:nvSpPr>
      <xdr:spPr bwMode="auto">
        <a:xfrm>
          <a:off x="2294283" y="4977848"/>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1"/>
    <xdr:sp macro="" textlink="">
      <xdr:nvSpPr>
        <xdr:cNvPr id="1082" name="AutoShape 236" descr="+">
          <a:extLst>
            <a:ext uri="{FF2B5EF4-FFF2-40B4-BE49-F238E27FC236}">
              <a16:creationId xmlns:a16="http://schemas.microsoft.com/office/drawing/2014/main" id="{E6EFFA1B-A63D-414C-89F0-BF88FF81FF02}"/>
            </a:ext>
          </a:extLst>
        </xdr:cNvPr>
        <xdr:cNvSpPr>
          <a:spLocks noChangeAspect="1" noChangeArrowheads="1"/>
        </xdr:cNvSpPr>
      </xdr:nvSpPr>
      <xdr:spPr bwMode="auto">
        <a:xfrm>
          <a:off x="2294283" y="4977848"/>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71730"/>
    <xdr:sp macro="" textlink="">
      <xdr:nvSpPr>
        <xdr:cNvPr id="1083" name="AutoShape 237" descr="+">
          <a:extLst>
            <a:ext uri="{FF2B5EF4-FFF2-40B4-BE49-F238E27FC236}">
              <a16:creationId xmlns:a16="http://schemas.microsoft.com/office/drawing/2014/main" id="{73E1EFC9-7CAD-49D0-8902-36E8CAC4E31C}"/>
            </a:ext>
          </a:extLst>
        </xdr:cNvPr>
        <xdr:cNvSpPr>
          <a:spLocks noChangeAspect="1" noChangeArrowheads="1"/>
        </xdr:cNvSpPr>
      </xdr:nvSpPr>
      <xdr:spPr bwMode="auto">
        <a:xfrm>
          <a:off x="2294283" y="4977848"/>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4"/>
    <xdr:sp macro="" textlink="">
      <xdr:nvSpPr>
        <xdr:cNvPr id="1084" name="AutoShape 238" descr="+">
          <a:extLst>
            <a:ext uri="{FF2B5EF4-FFF2-40B4-BE49-F238E27FC236}">
              <a16:creationId xmlns:a16="http://schemas.microsoft.com/office/drawing/2014/main" id="{8D131ED2-022F-4A53-9A00-992F7D81578A}"/>
            </a:ext>
          </a:extLst>
        </xdr:cNvPr>
        <xdr:cNvSpPr>
          <a:spLocks noChangeAspect="1" noChangeArrowheads="1"/>
        </xdr:cNvSpPr>
      </xdr:nvSpPr>
      <xdr:spPr bwMode="auto">
        <a:xfrm>
          <a:off x="2294283" y="4977848"/>
          <a:ext cx="304800" cy="21051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09"/>
    <xdr:sp macro="" textlink="">
      <xdr:nvSpPr>
        <xdr:cNvPr id="1085" name="AutoShape 239" descr="+">
          <a:extLst>
            <a:ext uri="{FF2B5EF4-FFF2-40B4-BE49-F238E27FC236}">
              <a16:creationId xmlns:a16="http://schemas.microsoft.com/office/drawing/2014/main" id="{C76F1CFE-C526-45C7-8B54-657194531BDD}"/>
            </a:ext>
          </a:extLst>
        </xdr:cNvPr>
        <xdr:cNvSpPr>
          <a:spLocks noChangeAspect="1" noChangeArrowheads="1"/>
        </xdr:cNvSpPr>
      </xdr:nvSpPr>
      <xdr:spPr bwMode="auto">
        <a:xfrm>
          <a:off x="2294283" y="4977848"/>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1"/>
    <xdr:sp macro="" textlink="">
      <xdr:nvSpPr>
        <xdr:cNvPr id="1086" name="AutoShape 240" descr="+">
          <a:extLst>
            <a:ext uri="{FF2B5EF4-FFF2-40B4-BE49-F238E27FC236}">
              <a16:creationId xmlns:a16="http://schemas.microsoft.com/office/drawing/2014/main" id="{43D91ACD-EF7B-42BB-898A-0CB7324FE6BD}"/>
            </a:ext>
          </a:extLst>
        </xdr:cNvPr>
        <xdr:cNvSpPr>
          <a:spLocks noChangeAspect="1" noChangeArrowheads="1"/>
        </xdr:cNvSpPr>
      </xdr:nvSpPr>
      <xdr:spPr bwMode="auto">
        <a:xfrm>
          <a:off x="2294283" y="4977848"/>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0"/>
    <xdr:sp macro="" textlink="">
      <xdr:nvSpPr>
        <xdr:cNvPr id="1087" name="AutoShape 241" descr="+">
          <a:extLst>
            <a:ext uri="{FF2B5EF4-FFF2-40B4-BE49-F238E27FC236}">
              <a16:creationId xmlns:a16="http://schemas.microsoft.com/office/drawing/2014/main" id="{5DCA3A60-2B95-415F-AB00-F3890EAC73DB}"/>
            </a:ext>
          </a:extLst>
        </xdr:cNvPr>
        <xdr:cNvSpPr>
          <a:spLocks noChangeAspect="1" noChangeArrowheads="1"/>
        </xdr:cNvSpPr>
      </xdr:nvSpPr>
      <xdr:spPr bwMode="auto">
        <a:xfrm>
          <a:off x="2294283" y="4977848"/>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86698"/>
    <xdr:sp macro="" textlink="">
      <xdr:nvSpPr>
        <xdr:cNvPr id="1088" name="AutoShape 242" descr="+">
          <a:extLst>
            <a:ext uri="{FF2B5EF4-FFF2-40B4-BE49-F238E27FC236}">
              <a16:creationId xmlns:a16="http://schemas.microsoft.com/office/drawing/2014/main" id="{303831A4-54FA-46AF-9159-7122A7732E38}"/>
            </a:ext>
          </a:extLst>
        </xdr:cNvPr>
        <xdr:cNvSpPr>
          <a:spLocks noChangeAspect="1" noChangeArrowheads="1"/>
        </xdr:cNvSpPr>
      </xdr:nvSpPr>
      <xdr:spPr bwMode="auto">
        <a:xfrm>
          <a:off x="2294283" y="4977848"/>
          <a:ext cx="304800" cy="18669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2"/>
    <xdr:sp macro="" textlink="">
      <xdr:nvSpPr>
        <xdr:cNvPr id="1089" name="AutoShape 243" descr="+">
          <a:extLst>
            <a:ext uri="{FF2B5EF4-FFF2-40B4-BE49-F238E27FC236}">
              <a16:creationId xmlns:a16="http://schemas.microsoft.com/office/drawing/2014/main" id="{5E93D01A-A33F-4CC2-81C3-4FFC244BE1AE}"/>
            </a:ext>
          </a:extLst>
        </xdr:cNvPr>
        <xdr:cNvSpPr>
          <a:spLocks noChangeAspect="1" noChangeArrowheads="1"/>
        </xdr:cNvSpPr>
      </xdr:nvSpPr>
      <xdr:spPr bwMode="auto">
        <a:xfrm>
          <a:off x="2294283" y="4977848"/>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1"/>
    <xdr:sp macro="" textlink="">
      <xdr:nvSpPr>
        <xdr:cNvPr id="1090" name="AutoShape 244" descr="+">
          <a:extLst>
            <a:ext uri="{FF2B5EF4-FFF2-40B4-BE49-F238E27FC236}">
              <a16:creationId xmlns:a16="http://schemas.microsoft.com/office/drawing/2014/main" id="{7ADC0D66-92B5-45F8-8561-8874BA62982A}"/>
            </a:ext>
          </a:extLst>
        </xdr:cNvPr>
        <xdr:cNvSpPr>
          <a:spLocks noChangeAspect="1" noChangeArrowheads="1"/>
        </xdr:cNvSpPr>
      </xdr:nvSpPr>
      <xdr:spPr bwMode="auto">
        <a:xfrm>
          <a:off x="2294283" y="4977848"/>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0"/>
    <xdr:sp macro="" textlink="">
      <xdr:nvSpPr>
        <xdr:cNvPr id="1091" name="AutoShape 245" descr="+">
          <a:extLst>
            <a:ext uri="{FF2B5EF4-FFF2-40B4-BE49-F238E27FC236}">
              <a16:creationId xmlns:a16="http://schemas.microsoft.com/office/drawing/2014/main" id="{6ADC7BB9-4F15-4C18-B5FE-4DF967ED6B7A}"/>
            </a:ext>
          </a:extLst>
        </xdr:cNvPr>
        <xdr:cNvSpPr>
          <a:spLocks noChangeAspect="1" noChangeArrowheads="1"/>
        </xdr:cNvSpPr>
      </xdr:nvSpPr>
      <xdr:spPr bwMode="auto">
        <a:xfrm>
          <a:off x="2294283" y="4977848"/>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76492"/>
    <xdr:sp macro="" textlink="">
      <xdr:nvSpPr>
        <xdr:cNvPr id="1092" name="AutoShape 246" descr="+">
          <a:extLst>
            <a:ext uri="{FF2B5EF4-FFF2-40B4-BE49-F238E27FC236}">
              <a16:creationId xmlns:a16="http://schemas.microsoft.com/office/drawing/2014/main" id="{1CD40158-CAF3-494E-AA45-3B2CA884E548}"/>
            </a:ext>
          </a:extLst>
        </xdr:cNvPr>
        <xdr:cNvSpPr>
          <a:spLocks noChangeAspect="1" noChangeArrowheads="1"/>
        </xdr:cNvSpPr>
      </xdr:nvSpPr>
      <xdr:spPr bwMode="auto">
        <a:xfrm>
          <a:off x="2294283" y="4977848"/>
          <a:ext cx="304800" cy="1764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71731"/>
    <xdr:sp macro="" textlink="">
      <xdr:nvSpPr>
        <xdr:cNvPr id="1093" name="AutoShape 247" descr="+">
          <a:extLst>
            <a:ext uri="{FF2B5EF4-FFF2-40B4-BE49-F238E27FC236}">
              <a16:creationId xmlns:a16="http://schemas.microsoft.com/office/drawing/2014/main" id="{0F046709-05BA-4F5D-9428-0AA24F4E3F03}"/>
            </a:ext>
          </a:extLst>
        </xdr:cNvPr>
        <xdr:cNvSpPr>
          <a:spLocks noChangeAspect="1" noChangeArrowheads="1"/>
        </xdr:cNvSpPr>
      </xdr:nvSpPr>
      <xdr:spPr bwMode="auto">
        <a:xfrm>
          <a:off x="2294283" y="4977848"/>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81938"/>
    <xdr:sp macro="" textlink="">
      <xdr:nvSpPr>
        <xdr:cNvPr id="1094" name="AutoShape 248" descr="+">
          <a:extLst>
            <a:ext uri="{FF2B5EF4-FFF2-40B4-BE49-F238E27FC236}">
              <a16:creationId xmlns:a16="http://schemas.microsoft.com/office/drawing/2014/main" id="{961D8D24-9523-4076-8751-32F3D7B1E330}"/>
            </a:ext>
          </a:extLst>
        </xdr:cNvPr>
        <xdr:cNvSpPr>
          <a:spLocks noChangeAspect="1" noChangeArrowheads="1"/>
        </xdr:cNvSpPr>
      </xdr:nvSpPr>
      <xdr:spPr bwMode="auto">
        <a:xfrm>
          <a:off x="2294283" y="4977848"/>
          <a:ext cx="304800" cy="1819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71731"/>
    <xdr:sp macro="" textlink="">
      <xdr:nvSpPr>
        <xdr:cNvPr id="1095" name="AutoShape 249" descr="+">
          <a:extLst>
            <a:ext uri="{FF2B5EF4-FFF2-40B4-BE49-F238E27FC236}">
              <a16:creationId xmlns:a16="http://schemas.microsoft.com/office/drawing/2014/main" id="{2D0246CF-B1F4-43FC-A5C0-70E44792E80F}"/>
            </a:ext>
          </a:extLst>
        </xdr:cNvPr>
        <xdr:cNvSpPr>
          <a:spLocks noChangeAspect="1" noChangeArrowheads="1"/>
        </xdr:cNvSpPr>
      </xdr:nvSpPr>
      <xdr:spPr bwMode="auto">
        <a:xfrm>
          <a:off x="2294283" y="4977848"/>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0"/>
    <xdr:sp macro="" textlink="">
      <xdr:nvSpPr>
        <xdr:cNvPr id="1096" name="AutoShape 250" descr="+">
          <a:extLst>
            <a:ext uri="{FF2B5EF4-FFF2-40B4-BE49-F238E27FC236}">
              <a16:creationId xmlns:a16="http://schemas.microsoft.com/office/drawing/2014/main" id="{3A91FD4B-C94F-4E24-8A7A-C548155CECFA}"/>
            </a:ext>
          </a:extLst>
        </xdr:cNvPr>
        <xdr:cNvSpPr>
          <a:spLocks noChangeAspect="1" noChangeArrowheads="1"/>
        </xdr:cNvSpPr>
      </xdr:nvSpPr>
      <xdr:spPr bwMode="auto">
        <a:xfrm>
          <a:off x="2294283" y="4977848"/>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1"/>
    <xdr:sp macro="" textlink="">
      <xdr:nvSpPr>
        <xdr:cNvPr id="1097" name="AutoShape 251" descr="+">
          <a:extLst>
            <a:ext uri="{FF2B5EF4-FFF2-40B4-BE49-F238E27FC236}">
              <a16:creationId xmlns:a16="http://schemas.microsoft.com/office/drawing/2014/main" id="{2FA45F56-97A9-4FC4-823E-D15273F10605}"/>
            </a:ext>
          </a:extLst>
        </xdr:cNvPr>
        <xdr:cNvSpPr>
          <a:spLocks noChangeAspect="1" noChangeArrowheads="1"/>
        </xdr:cNvSpPr>
      </xdr:nvSpPr>
      <xdr:spPr bwMode="auto">
        <a:xfrm>
          <a:off x="2294283" y="4977848"/>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09"/>
    <xdr:sp macro="" textlink="">
      <xdr:nvSpPr>
        <xdr:cNvPr id="1098" name="AutoShape 252" descr="+">
          <a:extLst>
            <a:ext uri="{FF2B5EF4-FFF2-40B4-BE49-F238E27FC236}">
              <a16:creationId xmlns:a16="http://schemas.microsoft.com/office/drawing/2014/main" id="{9DF77D51-D196-4124-951E-6FA3A5BF0071}"/>
            </a:ext>
          </a:extLst>
        </xdr:cNvPr>
        <xdr:cNvSpPr>
          <a:spLocks noChangeAspect="1" noChangeArrowheads="1"/>
        </xdr:cNvSpPr>
      </xdr:nvSpPr>
      <xdr:spPr bwMode="auto">
        <a:xfrm>
          <a:off x="2294283" y="4977848"/>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81937"/>
    <xdr:sp macro="" textlink="">
      <xdr:nvSpPr>
        <xdr:cNvPr id="1099" name="AutoShape 253" descr="+">
          <a:extLst>
            <a:ext uri="{FF2B5EF4-FFF2-40B4-BE49-F238E27FC236}">
              <a16:creationId xmlns:a16="http://schemas.microsoft.com/office/drawing/2014/main" id="{977E9E4E-F410-4FF6-82B3-9A6F7A8B0396}"/>
            </a:ext>
          </a:extLst>
        </xdr:cNvPr>
        <xdr:cNvSpPr>
          <a:spLocks noChangeAspect="1" noChangeArrowheads="1"/>
        </xdr:cNvSpPr>
      </xdr:nvSpPr>
      <xdr:spPr bwMode="auto">
        <a:xfrm>
          <a:off x="2294283" y="4977848"/>
          <a:ext cx="304800" cy="18193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1"/>
    <xdr:sp macro="" textlink="">
      <xdr:nvSpPr>
        <xdr:cNvPr id="1100" name="AutoShape 254" descr="+">
          <a:extLst>
            <a:ext uri="{FF2B5EF4-FFF2-40B4-BE49-F238E27FC236}">
              <a16:creationId xmlns:a16="http://schemas.microsoft.com/office/drawing/2014/main" id="{7C2BF188-FE70-42FE-AC63-AF87B524745B}"/>
            </a:ext>
          </a:extLst>
        </xdr:cNvPr>
        <xdr:cNvSpPr>
          <a:spLocks noChangeAspect="1" noChangeArrowheads="1"/>
        </xdr:cNvSpPr>
      </xdr:nvSpPr>
      <xdr:spPr bwMode="auto">
        <a:xfrm>
          <a:off x="2294283" y="4977848"/>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1"/>
    <xdr:sp macro="" textlink="">
      <xdr:nvSpPr>
        <xdr:cNvPr id="1101" name="AutoShape 255" descr="+">
          <a:extLst>
            <a:ext uri="{FF2B5EF4-FFF2-40B4-BE49-F238E27FC236}">
              <a16:creationId xmlns:a16="http://schemas.microsoft.com/office/drawing/2014/main" id="{96CC531E-68FC-4735-96FA-A3733B8585D9}"/>
            </a:ext>
          </a:extLst>
        </xdr:cNvPr>
        <xdr:cNvSpPr>
          <a:spLocks noChangeAspect="1" noChangeArrowheads="1"/>
        </xdr:cNvSpPr>
      </xdr:nvSpPr>
      <xdr:spPr bwMode="auto">
        <a:xfrm>
          <a:off x="2294283" y="4977848"/>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0"/>
    <xdr:sp macro="" textlink="">
      <xdr:nvSpPr>
        <xdr:cNvPr id="1102" name="AutoShape 256" descr="+">
          <a:extLst>
            <a:ext uri="{FF2B5EF4-FFF2-40B4-BE49-F238E27FC236}">
              <a16:creationId xmlns:a16="http://schemas.microsoft.com/office/drawing/2014/main" id="{526540F6-E4A3-4FE9-B490-AC74007B8F06}"/>
            </a:ext>
          </a:extLst>
        </xdr:cNvPr>
        <xdr:cNvSpPr>
          <a:spLocks noChangeAspect="1" noChangeArrowheads="1"/>
        </xdr:cNvSpPr>
      </xdr:nvSpPr>
      <xdr:spPr bwMode="auto">
        <a:xfrm>
          <a:off x="2294283" y="4977848"/>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2"/>
    <xdr:sp macro="" textlink="">
      <xdr:nvSpPr>
        <xdr:cNvPr id="1103" name="AutoShape 257" descr="+">
          <a:extLst>
            <a:ext uri="{FF2B5EF4-FFF2-40B4-BE49-F238E27FC236}">
              <a16:creationId xmlns:a16="http://schemas.microsoft.com/office/drawing/2014/main" id="{4314537C-BA6D-4A90-B93C-3A31AB0F101A}"/>
            </a:ext>
          </a:extLst>
        </xdr:cNvPr>
        <xdr:cNvSpPr>
          <a:spLocks noChangeAspect="1" noChangeArrowheads="1"/>
        </xdr:cNvSpPr>
      </xdr:nvSpPr>
      <xdr:spPr bwMode="auto">
        <a:xfrm>
          <a:off x="2294283" y="4977848"/>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71328"/>
    <xdr:sp macro="" textlink="">
      <xdr:nvSpPr>
        <xdr:cNvPr id="1104" name="AutoShape 258" descr="+">
          <a:extLst>
            <a:ext uri="{FF2B5EF4-FFF2-40B4-BE49-F238E27FC236}">
              <a16:creationId xmlns:a16="http://schemas.microsoft.com/office/drawing/2014/main" id="{330BF3D6-8B41-4F82-8543-F6E4A299D577}"/>
            </a:ext>
          </a:extLst>
        </xdr:cNvPr>
        <xdr:cNvSpPr>
          <a:spLocks noChangeAspect="1" noChangeArrowheads="1"/>
        </xdr:cNvSpPr>
      </xdr:nvSpPr>
      <xdr:spPr bwMode="auto">
        <a:xfrm>
          <a:off x="2294283" y="4977848"/>
          <a:ext cx="304800" cy="27132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81937"/>
    <xdr:sp macro="" textlink="">
      <xdr:nvSpPr>
        <xdr:cNvPr id="1105" name="AutoShape 259" descr="+">
          <a:extLst>
            <a:ext uri="{FF2B5EF4-FFF2-40B4-BE49-F238E27FC236}">
              <a16:creationId xmlns:a16="http://schemas.microsoft.com/office/drawing/2014/main" id="{15A3A428-43F0-4835-8432-FEDC6EB49640}"/>
            </a:ext>
          </a:extLst>
        </xdr:cNvPr>
        <xdr:cNvSpPr>
          <a:spLocks noChangeAspect="1" noChangeArrowheads="1"/>
        </xdr:cNvSpPr>
      </xdr:nvSpPr>
      <xdr:spPr bwMode="auto">
        <a:xfrm>
          <a:off x="2294283" y="4977848"/>
          <a:ext cx="304800" cy="18193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386"/>
    <xdr:sp macro="" textlink="">
      <xdr:nvSpPr>
        <xdr:cNvPr id="1106" name="AutoShape 260" descr="+">
          <a:extLst>
            <a:ext uri="{FF2B5EF4-FFF2-40B4-BE49-F238E27FC236}">
              <a16:creationId xmlns:a16="http://schemas.microsoft.com/office/drawing/2014/main" id="{D85F758F-5ADD-40CF-96F5-21D27DFFD762}"/>
            </a:ext>
          </a:extLst>
        </xdr:cNvPr>
        <xdr:cNvSpPr>
          <a:spLocks noChangeAspect="1" noChangeArrowheads="1"/>
        </xdr:cNvSpPr>
      </xdr:nvSpPr>
      <xdr:spPr bwMode="auto">
        <a:xfrm>
          <a:off x="2294283" y="4977848"/>
          <a:ext cx="304800" cy="30438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0"/>
    <xdr:sp macro="" textlink="">
      <xdr:nvSpPr>
        <xdr:cNvPr id="1107" name="AutoShape 261" descr="+">
          <a:extLst>
            <a:ext uri="{FF2B5EF4-FFF2-40B4-BE49-F238E27FC236}">
              <a16:creationId xmlns:a16="http://schemas.microsoft.com/office/drawing/2014/main" id="{E08EAC1B-8768-4AF1-AEA1-5DF9EB4FE8EF}"/>
            </a:ext>
          </a:extLst>
        </xdr:cNvPr>
        <xdr:cNvSpPr>
          <a:spLocks noChangeAspect="1" noChangeArrowheads="1"/>
        </xdr:cNvSpPr>
      </xdr:nvSpPr>
      <xdr:spPr bwMode="auto">
        <a:xfrm>
          <a:off x="2294283" y="4977848"/>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2"/>
    <xdr:sp macro="" textlink="">
      <xdr:nvSpPr>
        <xdr:cNvPr id="1108" name="AutoShape 262" descr="+">
          <a:extLst>
            <a:ext uri="{FF2B5EF4-FFF2-40B4-BE49-F238E27FC236}">
              <a16:creationId xmlns:a16="http://schemas.microsoft.com/office/drawing/2014/main" id="{EB14728E-9B86-492B-AB10-0F74E5022CD4}"/>
            </a:ext>
          </a:extLst>
        </xdr:cNvPr>
        <xdr:cNvSpPr>
          <a:spLocks noChangeAspect="1" noChangeArrowheads="1"/>
        </xdr:cNvSpPr>
      </xdr:nvSpPr>
      <xdr:spPr bwMode="auto">
        <a:xfrm>
          <a:off x="2294283" y="4977848"/>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65329"/>
    <xdr:sp macro="" textlink="">
      <xdr:nvSpPr>
        <xdr:cNvPr id="1109" name="AutoShape 263" descr="+">
          <a:extLst>
            <a:ext uri="{FF2B5EF4-FFF2-40B4-BE49-F238E27FC236}">
              <a16:creationId xmlns:a16="http://schemas.microsoft.com/office/drawing/2014/main" id="{4F57AA5B-08BC-4440-B504-D3AF326CC5AA}"/>
            </a:ext>
          </a:extLst>
        </xdr:cNvPr>
        <xdr:cNvSpPr>
          <a:spLocks noChangeAspect="1" noChangeArrowheads="1"/>
        </xdr:cNvSpPr>
      </xdr:nvSpPr>
      <xdr:spPr bwMode="auto">
        <a:xfrm>
          <a:off x="2294283" y="4977848"/>
          <a:ext cx="304800" cy="1653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65328"/>
    <xdr:sp macro="" textlink="">
      <xdr:nvSpPr>
        <xdr:cNvPr id="1110" name="AutoShape 264" descr="+">
          <a:extLst>
            <a:ext uri="{FF2B5EF4-FFF2-40B4-BE49-F238E27FC236}">
              <a16:creationId xmlns:a16="http://schemas.microsoft.com/office/drawing/2014/main" id="{0E3B5362-D2AF-43FA-9684-2B2992DA45F6}"/>
            </a:ext>
          </a:extLst>
        </xdr:cNvPr>
        <xdr:cNvSpPr>
          <a:spLocks noChangeAspect="1" noChangeArrowheads="1"/>
        </xdr:cNvSpPr>
      </xdr:nvSpPr>
      <xdr:spPr bwMode="auto">
        <a:xfrm>
          <a:off x="2294283" y="4977848"/>
          <a:ext cx="304800" cy="16532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04111"/>
    <xdr:sp macro="" textlink="">
      <xdr:nvSpPr>
        <xdr:cNvPr id="1111" name="AutoShape 265" descr="+">
          <a:extLst>
            <a:ext uri="{FF2B5EF4-FFF2-40B4-BE49-F238E27FC236}">
              <a16:creationId xmlns:a16="http://schemas.microsoft.com/office/drawing/2014/main" id="{69EFCD9C-D872-4135-B71F-DF917CE9CF9D}"/>
            </a:ext>
          </a:extLst>
        </xdr:cNvPr>
        <xdr:cNvSpPr>
          <a:spLocks noChangeAspect="1" noChangeArrowheads="1"/>
        </xdr:cNvSpPr>
      </xdr:nvSpPr>
      <xdr:spPr bwMode="auto">
        <a:xfrm>
          <a:off x="2294283" y="4977848"/>
          <a:ext cx="304800" cy="2041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04106"/>
    <xdr:sp macro="" textlink="">
      <xdr:nvSpPr>
        <xdr:cNvPr id="1112" name="AutoShape 266" descr="+">
          <a:extLst>
            <a:ext uri="{FF2B5EF4-FFF2-40B4-BE49-F238E27FC236}">
              <a16:creationId xmlns:a16="http://schemas.microsoft.com/office/drawing/2014/main" id="{DAB5D02C-61C8-49C4-8970-1544AE09D269}"/>
            </a:ext>
          </a:extLst>
        </xdr:cNvPr>
        <xdr:cNvSpPr>
          <a:spLocks noChangeAspect="1" noChangeArrowheads="1"/>
        </xdr:cNvSpPr>
      </xdr:nvSpPr>
      <xdr:spPr bwMode="auto">
        <a:xfrm>
          <a:off x="2294283" y="4977848"/>
          <a:ext cx="304800" cy="20410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04108"/>
    <xdr:sp macro="" textlink="">
      <xdr:nvSpPr>
        <xdr:cNvPr id="1113" name="AutoShape 267" descr="+">
          <a:extLst>
            <a:ext uri="{FF2B5EF4-FFF2-40B4-BE49-F238E27FC236}">
              <a16:creationId xmlns:a16="http://schemas.microsoft.com/office/drawing/2014/main" id="{FD77BBC1-EF4E-4977-B768-B3A4810770CE}"/>
            </a:ext>
          </a:extLst>
        </xdr:cNvPr>
        <xdr:cNvSpPr>
          <a:spLocks noChangeAspect="1" noChangeArrowheads="1"/>
        </xdr:cNvSpPr>
      </xdr:nvSpPr>
      <xdr:spPr bwMode="auto">
        <a:xfrm>
          <a:off x="2294283" y="4977848"/>
          <a:ext cx="304800" cy="20410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04111"/>
    <xdr:sp macro="" textlink="">
      <xdr:nvSpPr>
        <xdr:cNvPr id="1114" name="AutoShape 268" descr="+">
          <a:extLst>
            <a:ext uri="{FF2B5EF4-FFF2-40B4-BE49-F238E27FC236}">
              <a16:creationId xmlns:a16="http://schemas.microsoft.com/office/drawing/2014/main" id="{43362773-0D66-45C5-BA55-0A1B3104FE8D}"/>
            </a:ext>
          </a:extLst>
        </xdr:cNvPr>
        <xdr:cNvSpPr>
          <a:spLocks noChangeAspect="1" noChangeArrowheads="1"/>
        </xdr:cNvSpPr>
      </xdr:nvSpPr>
      <xdr:spPr bwMode="auto">
        <a:xfrm>
          <a:off x="2294283" y="4977848"/>
          <a:ext cx="304800" cy="2041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04109"/>
    <xdr:sp macro="" textlink="">
      <xdr:nvSpPr>
        <xdr:cNvPr id="1115" name="AutoShape 269" descr="+">
          <a:extLst>
            <a:ext uri="{FF2B5EF4-FFF2-40B4-BE49-F238E27FC236}">
              <a16:creationId xmlns:a16="http://schemas.microsoft.com/office/drawing/2014/main" id="{015EDF76-2C39-4B5C-977F-830DC75C9297}"/>
            </a:ext>
          </a:extLst>
        </xdr:cNvPr>
        <xdr:cNvSpPr>
          <a:spLocks noChangeAspect="1" noChangeArrowheads="1"/>
        </xdr:cNvSpPr>
      </xdr:nvSpPr>
      <xdr:spPr bwMode="auto">
        <a:xfrm>
          <a:off x="2294283" y="4977848"/>
          <a:ext cx="304800" cy="2041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04109"/>
    <xdr:sp macro="" textlink="">
      <xdr:nvSpPr>
        <xdr:cNvPr id="1116" name="AutoShape 270" descr="+">
          <a:extLst>
            <a:ext uri="{FF2B5EF4-FFF2-40B4-BE49-F238E27FC236}">
              <a16:creationId xmlns:a16="http://schemas.microsoft.com/office/drawing/2014/main" id="{CB4D5CC5-75B6-4160-AB64-B76921538AF7}"/>
            </a:ext>
          </a:extLst>
        </xdr:cNvPr>
        <xdr:cNvSpPr>
          <a:spLocks noChangeAspect="1" noChangeArrowheads="1"/>
        </xdr:cNvSpPr>
      </xdr:nvSpPr>
      <xdr:spPr bwMode="auto">
        <a:xfrm>
          <a:off x="2294283" y="4977848"/>
          <a:ext cx="304800" cy="2041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8468"/>
    <xdr:sp macro="" textlink="">
      <xdr:nvSpPr>
        <xdr:cNvPr id="1117" name="AutoShape 271" descr="+">
          <a:extLst>
            <a:ext uri="{FF2B5EF4-FFF2-40B4-BE49-F238E27FC236}">
              <a16:creationId xmlns:a16="http://schemas.microsoft.com/office/drawing/2014/main" id="{E82A5522-F1F4-46FD-951A-962B4D58DE76}"/>
            </a:ext>
          </a:extLst>
        </xdr:cNvPr>
        <xdr:cNvSpPr>
          <a:spLocks noChangeAspect="1" noChangeArrowheads="1"/>
        </xdr:cNvSpPr>
      </xdr:nvSpPr>
      <xdr:spPr bwMode="auto">
        <a:xfrm>
          <a:off x="2294283" y="4977848"/>
          <a:ext cx="304800" cy="30846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04109"/>
    <xdr:sp macro="" textlink="">
      <xdr:nvSpPr>
        <xdr:cNvPr id="1118" name="AutoShape 272" descr="+">
          <a:extLst>
            <a:ext uri="{FF2B5EF4-FFF2-40B4-BE49-F238E27FC236}">
              <a16:creationId xmlns:a16="http://schemas.microsoft.com/office/drawing/2014/main" id="{C3193ECE-8D98-43FB-8915-96CDA6B87CA4}"/>
            </a:ext>
          </a:extLst>
        </xdr:cNvPr>
        <xdr:cNvSpPr>
          <a:spLocks noChangeAspect="1" noChangeArrowheads="1"/>
        </xdr:cNvSpPr>
      </xdr:nvSpPr>
      <xdr:spPr bwMode="auto">
        <a:xfrm>
          <a:off x="2294283" y="4977848"/>
          <a:ext cx="304800" cy="2041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71731"/>
    <xdr:sp macro="" textlink="">
      <xdr:nvSpPr>
        <xdr:cNvPr id="1119" name="AutoShape 273" descr="+">
          <a:extLst>
            <a:ext uri="{FF2B5EF4-FFF2-40B4-BE49-F238E27FC236}">
              <a16:creationId xmlns:a16="http://schemas.microsoft.com/office/drawing/2014/main" id="{BD745F04-DDD4-4F17-9088-E2B14D048D40}"/>
            </a:ext>
          </a:extLst>
        </xdr:cNvPr>
        <xdr:cNvSpPr>
          <a:spLocks noChangeAspect="1" noChangeArrowheads="1"/>
        </xdr:cNvSpPr>
      </xdr:nvSpPr>
      <xdr:spPr bwMode="auto">
        <a:xfrm>
          <a:off x="2294283" y="4977848"/>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71731"/>
    <xdr:sp macro="" textlink="">
      <xdr:nvSpPr>
        <xdr:cNvPr id="1120" name="AutoShape 274" descr="+">
          <a:extLst>
            <a:ext uri="{FF2B5EF4-FFF2-40B4-BE49-F238E27FC236}">
              <a16:creationId xmlns:a16="http://schemas.microsoft.com/office/drawing/2014/main" id="{3A7CE658-F3BC-401C-B0B2-3D990DE5B3EE}"/>
            </a:ext>
          </a:extLst>
        </xdr:cNvPr>
        <xdr:cNvSpPr>
          <a:spLocks noChangeAspect="1" noChangeArrowheads="1"/>
        </xdr:cNvSpPr>
      </xdr:nvSpPr>
      <xdr:spPr bwMode="auto">
        <a:xfrm>
          <a:off x="2294283" y="4977848"/>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85297"/>
    <xdr:sp macro="" textlink="">
      <xdr:nvSpPr>
        <xdr:cNvPr id="1121" name="AutoShape 275" descr="+">
          <a:extLst>
            <a:ext uri="{FF2B5EF4-FFF2-40B4-BE49-F238E27FC236}">
              <a16:creationId xmlns:a16="http://schemas.microsoft.com/office/drawing/2014/main" id="{93419132-4C9C-4103-A26F-0FBDFB2F2FEE}"/>
            </a:ext>
          </a:extLst>
        </xdr:cNvPr>
        <xdr:cNvSpPr>
          <a:spLocks noChangeAspect="1" noChangeArrowheads="1"/>
        </xdr:cNvSpPr>
      </xdr:nvSpPr>
      <xdr:spPr bwMode="auto">
        <a:xfrm>
          <a:off x="2294283" y="4977848"/>
          <a:ext cx="304800" cy="18529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71731"/>
    <xdr:sp macro="" textlink="">
      <xdr:nvSpPr>
        <xdr:cNvPr id="1122" name="AutoShape 276" descr="+">
          <a:extLst>
            <a:ext uri="{FF2B5EF4-FFF2-40B4-BE49-F238E27FC236}">
              <a16:creationId xmlns:a16="http://schemas.microsoft.com/office/drawing/2014/main" id="{D54EF42A-6967-4761-A3DA-7E69FBDCBD20}"/>
            </a:ext>
          </a:extLst>
        </xdr:cNvPr>
        <xdr:cNvSpPr>
          <a:spLocks noChangeAspect="1" noChangeArrowheads="1"/>
        </xdr:cNvSpPr>
      </xdr:nvSpPr>
      <xdr:spPr bwMode="auto">
        <a:xfrm>
          <a:off x="2294283" y="4977848"/>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09"/>
    <xdr:sp macro="" textlink="">
      <xdr:nvSpPr>
        <xdr:cNvPr id="1123" name="AutoShape 277" descr="+">
          <a:extLst>
            <a:ext uri="{FF2B5EF4-FFF2-40B4-BE49-F238E27FC236}">
              <a16:creationId xmlns:a16="http://schemas.microsoft.com/office/drawing/2014/main" id="{0B0B486E-BE63-4CAA-B295-223FF4F073B4}"/>
            </a:ext>
          </a:extLst>
        </xdr:cNvPr>
        <xdr:cNvSpPr>
          <a:spLocks noChangeAspect="1" noChangeArrowheads="1"/>
        </xdr:cNvSpPr>
      </xdr:nvSpPr>
      <xdr:spPr bwMode="auto">
        <a:xfrm>
          <a:off x="2294283" y="4977848"/>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1"/>
    <xdr:sp macro="" textlink="">
      <xdr:nvSpPr>
        <xdr:cNvPr id="1124" name="AutoShape 278" descr="+">
          <a:extLst>
            <a:ext uri="{FF2B5EF4-FFF2-40B4-BE49-F238E27FC236}">
              <a16:creationId xmlns:a16="http://schemas.microsoft.com/office/drawing/2014/main" id="{8A816CC8-C76F-421B-9BC7-556015E957F2}"/>
            </a:ext>
          </a:extLst>
        </xdr:cNvPr>
        <xdr:cNvSpPr>
          <a:spLocks noChangeAspect="1" noChangeArrowheads="1"/>
        </xdr:cNvSpPr>
      </xdr:nvSpPr>
      <xdr:spPr bwMode="auto">
        <a:xfrm>
          <a:off x="2294283" y="4977848"/>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91461"/>
    <xdr:sp macro="" textlink="">
      <xdr:nvSpPr>
        <xdr:cNvPr id="1125" name="AutoShape 279" descr="+">
          <a:extLst>
            <a:ext uri="{FF2B5EF4-FFF2-40B4-BE49-F238E27FC236}">
              <a16:creationId xmlns:a16="http://schemas.microsoft.com/office/drawing/2014/main" id="{656B9DA8-E373-45DE-90C6-FCDCB05E63A2}"/>
            </a:ext>
          </a:extLst>
        </xdr:cNvPr>
        <xdr:cNvSpPr>
          <a:spLocks noChangeAspect="1" noChangeArrowheads="1"/>
        </xdr:cNvSpPr>
      </xdr:nvSpPr>
      <xdr:spPr bwMode="auto">
        <a:xfrm>
          <a:off x="2294283" y="4977848"/>
          <a:ext cx="304800" cy="19146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3"/>
    <xdr:sp macro="" textlink="">
      <xdr:nvSpPr>
        <xdr:cNvPr id="1126" name="AutoShape 280" descr="+">
          <a:extLst>
            <a:ext uri="{FF2B5EF4-FFF2-40B4-BE49-F238E27FC236}">
              <a16:creationId xmlns:a16="http://schemas.microsoft.com/office/drawing/2014/main" id="{61AF58E2-D9B7-4714-979F-55D1B930C4B6}"/>
            </a:ext>
          </a:extLst>
        </xdr:cNvPr>
        <xdr:cNvSpPr>
          <a:spLocks noChangeAspect="1" noChangeArrowheads="1"/>
        </xdr:cNvSpPr>
      </xdr:nvSpPr>
      <xdr:spPr bwMode="auto">
        <a:xfrm>
          <a:off x="2294283" y="4977848"/>
          <a:ext cx="304800" cy="21051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0"/>
    <xdr:sp macro="" textlink="">
      <xdr:nvSpPr>
        <xdr:cNvPr id="1127" name="AutoShape 281" descr="+">
          <a:extLst>
            <a:ext uri="{FF2B5EF4-FFF2-40B4-BE49-F238E27FC236}">
              <a16:creationId xmlns:a16="http://schemas.microsoft.com/office/drawing/2014/main" id="{84B5C6B8-67D8-4D49-8C3B-9752946B3A43}"/>
            </a:ext>
          </a:extLst>
        </xdr:cNvPr>
        <xdr:cNvSpPr>
          <a:spLocks noChangeAspect="1" noChangeArrowheads="1"/>
        </xdr:cNvSpPr>
      </xdr:nvSpPr>
      <xdr:spPr bwMode="auto">
        <a:xfrm>
          <a:off x="2294283" y="4977848"/>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08"/>
    <xdr:sp macro="" textlink="">
      <xdr:nvSpPr>
        <xdr:cNvPr id="1128" name="AutoShape 282" descr="+">
          <a:extLst>
            <a:ext uri="{FF2B5EF4-FFF2-40B4-BE49-F238E27FC236}">
              <a16:creationId xmlns:a16="http://schemas.microsoft.com/office/drawing/2014/main" id="{474DB1CA-8ED1-4A38-AA15-6438F04DA3B3}"/>
            </a:ext>
          </a:extLst>
        </xdr:cNvPr>
        <xdr:cNvSpPr>
          <a:spLocks noChangeAspect="1" noChangeArrowheads="1"/>
        </xdr:cNvSpPr>
      </xdr:nvSpPr>
      <xdr:spPr bwMode="auto">
        <a:xfrm>
          <a:off x="2294283" y="4977848"/>
          <a:ext cx="304800" cy="21050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2"/>
    <xdr:sp macro="" textlink="">
      <xdr:nvSpPr>
        <xdr:cNvPr id="1129" name="AutoShape 283" descr="+">
          <a:extLst>
            <a:ext uri="{FF2B5EF4-FFF2-40B4-BE49-F238E27FC236}">
              <a16:creationId xmlns:a16="http://schemas.microsoft.com/office/drawing/2014/main" id="{831E349B-1302-46AA-B647-06CB0F0B3E6D}"/>
            </a:ext>
          </a:extLst>
        </xdr:cNvPr>
        <xdr:cNvSpPr>
          <a:spLocks noChangeAspect="1" noChangeArrowheads="1"/>
        </xdr:cNvSpPr>
      </xdr:nvSpPr>
      <xdr:spPr bwMode="auto">
        <a:xfrm>
          <a:off x="2294283" y="4977848"/>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2"/>
    <xdr:sp macro="" textlink="">
      <xdr:nvSpPr>
        <xdr:cNvPr id="1130" name="AutoShape 284" descr="+">
          <a:extLst>
            <a:ext uri="{FF2B5EF4-FFF2-40B4-BE49-F238E27FC236}">
              <a16:creationId xmlns:a16="http://schemas.microsoft.com/office/drawing/2014/main" id="{E60F7715-D046-4F7C-9808-A7691645A97B}"/>
            </a:ext>
          </a:extLst>
        </xdr:cNvPr>
        <xdr:cNvSpPr>
          <a:spLocks noChangeAspect="1" noChangeArrowheads="1"/>
        </xdr:cNvSpPr>
      </xdr:nvSpPr>
      <xdr:spPr bwMode="auto">
        <a:xfrm>
          <a:off x="2294283" y="4977848"/>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81936"/>
    <xdr:sp macro="" textlink="">
      <xdr:nvSpPr>
        <xdr:cNvPr id="1131" name="AutoShape 285" descr="+">
          <a:extLst>
            <a:ext uri="{FF2B5EF4-FFF2-40B4-BE49-F238E27FC236}">
              <a16:creationId xmlns:a16="http://schemas.microsoft.com/office/drawing/2014/main" id="{22F735C9-4F80-4E0F-BC4D-A03646CEF032}"/>
            </a:ext>
          </a:extLst>
        </xdr:cNvPr>
        <xdr:cNvSpPr>
          <a:spLocks noChangeAspect="1" noChangeArrowheads="1"/>
        </xdr:cNvSpPr>
      </xdr:nvSpPr>
      <xdr:spPr bwMode="auto">
        <a:xfrm>
          <a:off x="2294283" y="4977848"/>
          <a:ext cx="304800" cy="18193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00704"/>
    <xdr:sp macro="" textlink="">
      <xdr:nvSpPr>
        <xdr:cNvPr id="1132" name="AutoShape 286" descr="+">
          <a:extLst>
            <a:ext uri="{FF2B5EF4-FFF2-40B4-BE49-F238E27FC236}">
              <a16:creationId xmlns:a16="http://schemas.microsoft.com/office/drawing/2014/main" id="{4253B83D-9E0E-474A-947E-520F532BAED2}"/>
            </a:ext>
          </a:extLst>
        </xdr:cNvPr>
        <xdr:cNvSpPr>
          <a:spLocks noChangeAspect="1" noChangeArrowheads="1"/>
        </xdr:cNvSpPr>
      </xdr:nvSpPr>
      <xdr:spPr bwMode="auto">
        <a:xfrm>
          <a:off x="2294283" y="4977848"/>
          <a:ext cx="304800" cy="20070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00707"/>
    <xdr:sp macro="" textlink="">
      <xdr:nvSpPr>
        <xdr:cNvPr id="1133" name="AutoShape 287" descr="+">
          <a:extLst>
            <a:ext uri="{FF2B5EF4-FFF2-40B4-BE49-F238E27FC236}">
              <a16:creationId xmlns:a16="http://schemas.microsoft.com/office/drawing/2014/main" id="{1EC81070-2B48-453B-B7F3-2404522B3EC2}"/>
            </a:ext>
          </a:extLst>
        </xdr:cNvPr>
        <xdr:cNvSpPr>
          <a:spLocks noChangeAspect="1" noChangeArrowheads="1"/>
        </xdr:cNvSpPr>
      </xdr:nvSpPr>
      <xdr:spPr bwMode="auto">
        <a:xfrm>
          <a:off x="2294283" y="4977848"/>
          <a:ext cx="304800" cy="20070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04107"/>
    <xdr:sp macro="" textlink="">
      <xdr:nvSpPr>
        <xdr:cNvPr id="1134" name="AutoShape 288" descr="+">
          <a:extLst>
            <a:ext uri="{FF2B5EF4-FFF2-40B4-BE49-F238E27FC236}">
              <a16:creationId xmlns:a16="http://schemas.microsoft.com/office/drawing/2014/main" id="{91532085-6DA1-4DFB-84D9-52185CC120E1}"/>
            </a:ext>
          </a:extLst>
        </xdr:cNvPr>
        <xdr:cNvSpPr>
          <a:spLocks noChangeAspect="1" noChangeArrowheads="1"/>
        </xdr:cNvSpPr>
      </xdr:nvSpPr>
      <xdr:spPr bwMode="auto">
        <a:xfrm>
          <a:off x="2294283" y="4977848"/>
          <a:ext cx="304800" cy="20410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71730"/>
    <xdr:sp macro="" textlink="">
      <xdr:nvSpPr>
        <xdr:cNvPr id="1135" name="AutoShape 289" descr="+">
          <a:extLst>
            <a:ext uri="{FF2B5EF4-FFF2-40B4-BE49-F238E27FC236}">
              <a16:creationId xmlns:a16="http://schemas.microsoft.com/office/drawing/2014/main" id="{540FEB0A-72FB-44FC-927E-5A69A48AD0E2}"/>
            </a:ext>
          </a:extLst>
        </xdr:cNvPr>
        <xdr:cNvSpPr>
          <a:spLocks noChangeAspect="1" noChangeArrowheads="1"/>
        </xdr:cNvSpPr>
      </xdr:nvSpPr>
      <xdr:spPr bwMode="auto">
        <a:xfrm>
          <a:off x="2294283" y="4977848"/>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2"/>
    <xdr:sp macro="" textlink="">
      <xdr:nvSpPr>
        <xdr:cNvPr id="1136" name="AutoShape 290" descr="+">
          <a:extLst>
            <a:ext uri="{FF2B5EF4-FFF2-40B4-BE49-F238E27FC236}">
              <a16:creationId xmlns:a16="http://schemas.microsoft.com/office/drawing/2014/main" id="{8E3D4F64-B419-4380-8099-7FBE72803D43}"/>
            </a:ext>
          </a:extLst>
        </xdr:cNvPr>
        <xdr:cNvSpPr>
          <a:spLocks noChangeAspect="1" noChangeArrowheads="1"/>
        </xdr:cNvSpPr>
      </xdr:nvSpPr>
      <xdr:spPr bwMode="auto">
        <a:xfrm>
          <a:off x="2294283" y="4977848"/>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1"/>
    <xdr:sp macro="" textlink="">
      <xdr:nvSpPr>
        <xdr:cNvPr id="1137" name="AutoShape 291" descr="+">
          <a:extLst>
            <a:ext uri="{FF2B5EF4-FFF2-40B4-BE49-F238E27FC236}">
              <a16:creationId xmlns:a16="http://schemas.microsoft.com/office/drawing/2014/main" id="{25382A9C-F554-469F-9E90-13A0AB2CC4A8}"/>
            </a:ext>
          </a:extLst>
        </xdr:cNvPr>
        <xdr:cNvSpPr>
          <a:spLocks noChangeAspect="1" noChangeArrowheads="1"/>
        </xdr:cNvSpPr>
      </xdr:nvSpPr>
      <xdr:spPr bwMode="auto">
        <a:xfrm>
          <a:off x="2294283" y="4977848"/>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2"/>
    <xdr:sp macro="" textlink="">
      <xdr:nvSpPr>
        <xdr:cNvPr id="1138" name="AutoShape 292" descr="+">
          <a:extLst>
            <a:ext uri="{FF2B5EF4-FFF2-40B4-BE49-F238E27FC236}">
              <a16:creationId xmlns:a16="http://schemas.microsoft.com/office/drawing/2014/main" id="{764B5A05-97C0-4C52-BFE8-881763BE5A30}"/>
            </a:ext>
          </a:extLst>
        </xdr:cNvPr>
        <xdr:cNvSpPr>
          <a:spLocks noChangeAspect="1" noChangeArrowheads="1"/>
        </xdr:cNvSpPr>
      </xdr:nvSpPr>
      <xdr:spPr bwMode="auto">
        <a:xfrm>
          <a:off x="2294283" y="4977848"/>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09"/>
    <xdr:sp macro="" textlink="">
      <xdr:nvSpPr>
        <xdr:cNvPr id="1139" name="AutoShape 293" descr="+">
          <a:extLst>
            <a:ext uri="{FF2B5EF4-FFF2-40B4-BE49-F238E27FC236}">
              <a16:creationId xmlns:a16="http://schemas.microsoft.com/office/drawing/2014/main" id="{C8A77D0E-7342-4D5B-8F74-60F302335A63}"/>
            </a:ext>
          </a:extLst>
        </xdr:cNvPr>
        <xdr:cNvSpPr>
          <a:spLocks noChangeAspect="1" noChangeArrowheads="1"/>
        </xdr:cNvSpPr>
      </xdr:nvSpPr>
      <xdr:spPr bwMode="auto">
        <a:xfrm>
          <a:off x="2294283" y="4977848"/>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2"/>
    <xdr:sp macro="" textlink="">
      <xdr:nvSpPr>
        <xdr:cNvPr id="1140" name="AutoShape 294" descr="+">
          <a:extLst>
            <a:ext uri="{FF2B5EF4-FFF2-40B4-BE49-F238E27FC236}">
              <a16:creationId xmlns:a16="http://schemas.microsoft.com/office/drawing/2014/main" id="{0B65240A-8BF9-40A3-8AE7-215606EDB887}"/>
            </a:ext>
          </a:extLst>
        </xdr:cNvPr>
        <xdr:cNvSpPr>
          <a:spLocks noChangeAspect="1" noChangeArrowheads="1"/>
        </xdr:cNvSpPr>
      </xdr:nvSpPr>
      <xdr:spPr bwMode="auto">
        <a:xfrm>
          <a:off x="2294283" y="4977848"/>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664"/>
    <xdr:sp macro="" textlink="">
      <xdr:nvSpPr>
        <xdr:cNvPr id="1141" name="AutoShape 295" descr="+">
          <a:extLst>
            <a:ext uri="{FF2B5EF4-FFF2-40B4-BE49-F238E27FC236}">
              <a16:creationId xmlns:a16="http://schemas.microsoft.com/office/drawing/2014/main" id="{2A77D7BC-34C3-462B-A4FD-06EE4AB84D45}"/>
            </a:ext>
          </a:extLst>
        </xdr:cNvPr>
        <xdr:cNvSpPr>
          <a:spLocks noChangeAspect="1" noChangeArrowheads="1"/>
        </xdr:cNvSpPr>
      </xdr:nvSpPr>
      <xdr:spPr bwMode="auto">
        <a:xfrm>
          <a:off x="2294283" y="4977848"/>
          <a:ext cx="304800" cy="30466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81938"/>
    <xdr:sp macro="" textlink="">
      <xdr:nvSpPr>
        <xdr:cNvPr id="1142" name="AutoShape 296" descr="+">
          <a:extLst>
            <a:ext uri="{FF2B5EF4-FFF2-40B4-BE49-F238E27FC236}">
              <a16:creationId xmlns:a16="http://schemas.microsoft.com/office/drawing/2014/main" id="{E6294C67-3054-4C80-8CCA-86BDAC382092}"/>
            </a:ext>
          </a:extLst>
        </xdr:cNvPr>
        <xdr:cNvSpPr>
          <a:spLocks noChangeAspect="1" noChangeArrowheads="1"/>
        </xdr:cNvSpPr>
      </xdr:nvSpPr>
      <xdr:spPr bwMode="auto">
        <a:xfrm>
          <a:off x="2294283" y="4977848"/>
          <a:ext cx="304800" cy="18193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6063"/>
    <xdr:sp macro="" textlink="">
      <xdr:nvSpPr>
        <xdr:cNvPr id="1143" name="AutoShape 297" descr="+">
          <a:extLst>
            <a:ext uri="{FF2B5EF4-FFF2-40B4-BE49-F238E27FC236}">
              <a16:creationId xmlns:a16="http://schemas.microsoft.com/office/drawing/2014/main" id="{8B9A8FC5-127B-471B-A38E-69099C7A5BFA}"/>
            </a:ext>
          </a:extLst>
        </xdr:cNvPr>
        <xdr:cNvSpPr>
          <a:spLocks noChangeAspect="1" noChangeArrowheads="1"/>
        </xdr:cNvSpPr>
      </xdr:nvSpPr>
      <xdr:spPr bwMode="auto">
        <a:xfrm>
          <a:off x="2294283" y="4977848"/>
          <a:ext cx="304800" cy="30606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210512"/>
    <xdr:sp macro="" textlink="">
      <xdr:nvSpPr>
        <xdr:cNvPr id="1144" name="AutoShape 298" descr="+">
          <a:extLst>
            <a:ext uri="{FF2B5EF4-FFF2-40B4-BE49-F238E27FC236}">
              <a16:creationId xmlns:a16="http://schemas.microsoft.com/office/drawing/2014/main" id="{DAFF93B6-BD93-4B57-9677-839D6AF6D09C}"/>
            </a:ext>
          </a:extLst>
        </xdr:cNvPr>
        <xdr:cNvSpPr>
          <a:spLocks noChangeAspect="1" noChangeArrowheads="1"/>
        </xdr:cNvSpPr>
      </xdr:nvSpPr>
      <xdr:spPr bwMode="auto">
        <a:xfrm>
          <a:off x="2294283" y="4977848"/>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166687"/>
    <xdr:sp macro="" textlink="">
      <xdr:nvSpPr>
        <xdr:cNvPr id="1145" name="AutoShape 80" descr="+">
          <a:extLst>
            <a:ext uri="{FF2B5EF4-FFF2-40B4-BE49-F238E27FC236}">
              <a16:creationId xmlns:a16="http://schemas.microsoft.com/office/drawing/2014/main" id="{99281F82-89CD-498B-A222-D25A9ABA7820}"/>
            </a:ext>
          </a:extLst>
        </xdr:cNvPr>
        <xdr:cNvSpPr>
          <a:spLocks noChangeAspect="1" noChangeArrowheads="1"/>
        </xdr:cNvSpPr>
      </xdr:nvSpPr>
      <xdr:spPr bwMode="auto">
        <a:xfrm>
          <a:off x="2294283" y="4977848"/>
          <a:ext cx="304800" cy="1666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1496786</xdr:colOff>
      <xdr:row>13</xdr:row>
      <xdr:rowOff>0</xdr:rowOff>
    </xdr:from>
    <xdr:ext cx="304800" cy="166687"/>
    <xdr:sp macro="" textlink="">
      <xdr:nvSpPr>
        <xdr:cNvPr id="1146" name="AutoShape 80" descr="+">
          <a:extLst>
            <a:ext uri="{FF2B5EF4-FFF2-40B4-BE49-F238E27FC236}">
              <a16:creationId xmlns:a16="http://schemas.microsoft.com/office/drawing/2014/main" id="{142B5A20-431B-4F8A-8823-6EE658BEAF47}"/>
            </a:ext>
          </a:extLst>
        </xdr:cNvPr>
        <xdr:cNvSpPr>
          <a:spLocks noChangeAspect="1" noChangeArrowheads="1"/>
        </xdr:cNvSpPr>
      </xdr:nvSpPr>
      <xdr:spPr bwMode="auto">
        <a:xfrm>
          <a:off x="3791069" y="4977848"/>
          <a:ext cx="304800" cy="1666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0</xdr:col>
      <xdr:colOff>9525</xdr:colOff>
      <xdr:row>20</xdr:row>
      <xdr:rowOff>4308614</xdr:rowOff>
    </xdr:from>
    <xdr:to>
      <xdr:col>3</xdr:col>
      <xdr:colOff>1843780</xdr:colOff>
      <xdr:row>34</xdr:row>
      <xdr:rowOff>57151</xdr:rowOff>
    </xdr:to>
    <xdr:pic>
      <xdr:nvPicPr>
        <xdr:cNvPr id="282" name="Picture 281">
          <a:extLst>
            <a:ext uri="{FF2B5EF4-FFF2-40B4-BE49-F238E27FC236}">
              <a16:creationId xmlns:a16="http://schemas.microsoft.com/office/drawing/2014/main" id="{AD9163EF-3342-4297-A77C-1395530872B8}"/>
            </a:ext>
          </a:extLst>
        </xdr:cNvPr>
        <xdr:cNvPicPr>
          <a:picLocks noChangeAspect="1"/>
        </xdr:cNvPicPr>
      </xdr:nvPicPr>
      <xdr:blipFill>
        <a:blip xmlns:r="http://schemas.openxmlformats.org/officeDocument/2006/relationships" r:embed="rId3"/>
        <a:stretch>
          <a:fillRect/>
        </a:stretch>
      </xdr:blipFill>
      <xdr:spPr>
        <a:xfrm>
          <a:off x="9525" y="10233164"/>
          <a:ext cx="6072880" cy="2387462"/>
        </a:xfrm>
        <a:prstGeom prst="rect">
          <a:avLst/>
        </a:prstGeom>
        <a:ln>
          <a:solidFill>
            <a:schemeClr val="tx1"/>
          </a:solidFill>
        </a:ln>
      </xdr:spPr>
    </xdr:pic>
    <xdr:clientData/>
  </xdr:twoCellAnchor>
  <xdr:twoCellAnchor editAs="oneCell">
    <xdr:from>
      <xdr:col>4</xdr:col>
      <xdr:colOff>219075</xdr:colOff>
      <xdr:row>7</xdr:row>
      <xdr:rowOff>161925</xdr:rowOff>
    </xdr:from>
    <xdr:to>
      <xdr:col>6</xdr:col>
      <xdr:colOff>807427</xdr:colOff>
      <xdr:row>11</xdr:row>
      <xdr:rowOff>207860</xdr:rowOff>
    </xdr:to>
    <xdr:pic>
      <xdr:nvPicPr>
        <xdr:cNvPr id="1147" name="Picture 1146">
          <a:extLst>
            <a:ext uri="{FF2B5EF4-FFF2-40B4-BE49-F238E27FC236}">
              <a16:creationId xmlns:a16="http://schemas.microsoft.com/office/drawing/2014/main" id="{9D94E45C-2E3C-4A84-BF40-003AB8D2883F}"/>
            </a:ext>
          </a:extLst>
        </xdr:cNvPr>
        <xdr:cNvPicPr>
          <a:picLocks noChangeAspect="1"/>
        </xdr:cNvPicPr>
      </xdr:nvPicPr>
      <xdr:blipFill>
        <a:blip xmlns:r="http://schemas.openxmlformats.org/officeDocument/2006/relationships" r:embed="rId4"/>
        <a:stretch>
          <a:fillRect/>
        </a:stretch>
      </xdr:blipFill>
      <xdr:spPr>
        <a:xfrm>
          <a:off x="6400800" y="1943100"/>
          <a:ext cx="2702902" cy="107463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0</xdr:colOff>
      <xdr:row>41</xdr:row>
      <xdr:rowOff>0</xdr:rowOff>
    </xdr:from>
    <xdr:to>
      <xdr:col>2</xdr:col>
      <xdr:colOff>304800</xdr:colOff>
      <xdr:row>42</xdr:row>
      <xdr:rowOff>9805</xdr:rowOff>
    </xdr:to>
    <xdr:sp macro="" textlink="">
      <xdr:nvSpPr>
        <xdr:cNvPr id="2" name="AutoShape 4" descr="+">
          <a:extLst>
            <a:ext uri="{FF2B5EF4-FFF2-40B4-BE49-F238E27FC236}">
              <a16:creationId xmlns:a16="http://schemas.microsoft.com/office/drawing/2014/main" id="{00000000-0008-0000-0B00-000002000000}"/>
            </a:ext>
          </a:extLst>
        </xdr:cNvPr>
        <xdr:cNvSpPr>
          <a:spLocks noChangeAspect="1" noChangeArrowheads="1"/>
        </xdr:cNvSpPr>
      </xdr:nvSpPr>
      <xdr:spPr bwMode="auto">
        <a:xfrm>
          <a:off x="0" y="20821650"/>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9804</xdr:rowOff>
    </xdr:to>
    <xdr:sp macro="" textlink="">
      <xdr:nvSpPr>
        <xdr:cNvPr id="3" name="AutoShape 5" descr="+">
          <a:extLst>
            <a:ext uri="{FF2B5EF4-FFF2-40B4-BE49-F238E27FC236}">
              <a16:creationId xmlns:a16="http://schemas.microsoft.com/office/drawing/2014/main" id="{00000000-0008-0000-0B00-000003000000}"/>
            </a:ext>
          </a:extLst>
        </xdr:cNvPr>
        <xdr:cNvSpPr>
          <a:spLocks noChangeAspect="1" noChangeArrowheads="1"/>
        </xdr:cNvSpPr>
      </xdr:nvSpPr>
      <xdr:spPr bwMode="auto">
        <a:xfrm>
          <a:off x="0" y="20821650"/>
          <a:ext cx="304800" cy="17172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39781</xdr:rowOff>
    </xdr:to>
    <xdr:sp macro="" textlink="">
      <xdr:nvSpPr>
        <xdr:cNvPr id="4" name="AutoShape 6" descr="+">
          <a:extLst>
            <a:ext uri="{FF2B5EF4-FFF2-40B4-BE49-F238E27FC236}">
              <a16:creationId xmlns:a16="http://schemas.microsoft.com/office/drawing/2014/main" id="{00000000-0008-0000-0B00-000004000000}"/>
            </a:ext>
          </a:extLst>
        </xdr:cNvPr>
        <xdr:cNvSpPr>
          <a:spLocks noChangeAspect="1" noChangeArrowheads="1"/>
        </xdr:cNvSpPr>
      </xdr:nvSpPr>
      <xdr:spPr bwMode="auto">
        <a:xfrm>
          <a:off x="0" y="20821650"/>
          <a:ext cx="304800" cy="20170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12739</xdr:rowOff>
    </xdr:to>
    <xdr:sp macro="" textlink="">
      <xdr:nvSpPr>
        <xdr:cNvPr id="5" name="AutoShape 7" descr="+">
          <a:extLst>
            <a:ext uri="{FF2B5EF4-FFF2-40B4-BE49-F238E27FC236}">
              <a16:creationId xmlns:a16="http://schemas.microsoft.com/office/drawing/2014/main" id="{00000000-0008-0000-0B00-000005000000}"/>
            </a:ext>
          </a:extLst>
        </xdr:cNvPr>
        <xdr:cNvSpPr>
          <a:spLocks noChangeAspect="1" noChangeArrowheads="1"/>
        </xdr:cNvSpPr>
      </xdr:nvSpPr>
      <xdr:spPr bwMode="auto">
        <a:xfrm>
          <a:off x="0" y="20821650"/>
          <a:ext cx="304800" cy="17466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39782</xdr:rowOff>
    </xdr:to>
    <xdr:sp macro="" textlink="">
      <xdr:nvSpPr>
        <xdr:cNvPr id="6" name="AutoShape 8" descr="+">
          <a:extLst>
            <a:ext uri="{FF2B5EF4-FFF2-40B4-BE49-F238E27FC236}">
              <a16:creationId xmlns:a16="http://schemas.microsoft.com/office/drawing/2014/main" id="{00000000-0008-0000-0B00-000006000000}"/>
            </a:ext>
          </a:extLst>
        </xdr:cNvPr>
        <xdr:cNvSpPr>
          <a:spLocks noChangeAspect="1" noChangeArrowheads="1"/>
        </xdr:cNvSpPr>
      </xdr:nvSpPr>
      <xdr:spPr bwMode="auto">
        <a:xfrm>
          <a:off x="0" y="20821650"/>
          <a:ext cx="304800" cy="2017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39779</xdr:rowOff>
    </xdr:to>
    <xdr:sp macro="" textlink="">
      <xdr:nvSpPr>
        <xdr:cNvPr id="7" name="AutoShape 9" descr="+">
          <a:extLst>
            <a:ext uri="{FF2B5EF4-FFF2-40B4-BE49-F238E27FC236}">
              <a16:creationId xmlns:a16="http://schemas.microsoft.com/office/drawing/2014/main" id="{00000000-0008-0000-0B00-000007000000}"/>
            </a:ext>
          </a:extLst>
        </xdr:cNvPr>
        <xdr:cNvSpPr>
          <a:spLocks noChangeAspect="1" noChangeArrowheads="1"/>
        </xdr:cNvSpPr>
      </xdr:nvSpPr>
      <xdr:spPr bwMode="auto">
        <a:xfrm>
          <a:off x="0" y="20821650"/>
          <a:ext cx="304800" cy="20170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39782</xdr:rowOff>
    </xdr:to>
    <xdr:sp macro="" textlink="">
      <xdr:nvSpPr>
        <xdr:cNvPr id="8" name="AutoShape 10" descr="+">
          <a:extLst>
            <a:ext uri="{FF2B5EF4-FFF2-40B4-BE49-F238E27FC236}">
              <a16:creationId xmlns:a16="http://schemas.microsoft.com/office/drawing/2014/main" id="{00000000-0008-0000-0B00-000008000000}"/>
            </a:ext>
          </a:extLst>
        </xdr:cNvPr>
        <xdr:cNvSpPr>
          <a:spLocks noChangeAspect="1" noChangeArrowheads="1"/>
        </xdr:cNvSpPr>
      </xdr:nvSpPr>
      <xdr:spPr bwMode="auto">
        <a:xfrm>
          <a:off x="0" y="20821650"/>
          <a:ext cx="304800" cy="2017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30254</xdr:rowOff>
    </xdr:to>
    <xdr:sp macro="" textlink="">
      <xdr:nvSpPr>
        <xdr:cNvPr id="9" name="AutoShape 11" descr="+">
          <a:extLst>
            <a:ext uri="{FF2B5EF4-FFF2-40B4-BE49-F238E27FC236}">
              <a16:creationId xmlns:a16="http://schemas.microsoft.com/office/drawing/2014/main" id="{00000000-0008-0000-0B00-000009000000}"/>
            </a:ext>
          </a:extLst>
        </xdr:cNvPr>
        <xdr:cNvSpPr>
          <a:spLocks noChangeAspect="1" noChangeArrowheads="1"/>
        </xdr:cNvSpPr>
      </xdr:nvSpPr>
      <xdr:spPr bwMode="auto">
        <a:xfrm>
          <a:off x="0" y="20821650"/>
          <a:ext cx="304800" cy="19217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108622</xdr:rowOff>
    </xdr:to>
    <xdr:sp macro="" textlink="">
      <xdr:nvSpPr>
        <xdr:cNvPr id="10" name="AutoShape 12" descr="+">
          <a:extLst>
            <a:ext uri="{FF2B5EF4-FFF2-40B4-BE49-F238E27FC236}">
              <a16:creationId xmlns:a16="http://schemas.microsoft.com/office/drawing/2014/main" id="{00000000-0008-0000-0B00-00000A000000}"/>
            </a:ext>
          </a:extLst>
        </xdr:cNvPr>
        <xdr:cNvSpPr>
          <a:spLocks noChangeAspect="1" noChangeArrowheads="1"/>
        </xdr:cNvSpPr>
      </xdr:nvSpPr>
      <xdr:spPr bwMode="auto">
        <a:xfrm>
          <a:off x="0" y="20821650"/>
          <a:ext cx="304800" cy="27054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11205</xdr:rowOff>
    </xdr:to>
    <xdr:sp macro="" textlink="">
      <xdr:nvSpPr>
        <xdr:cNvPr id="11" name="AutoShape 13" descr="+">
          <a:extLst>
            <a:ext uri="{FF2B5EF4-FFF2-40B4-BE49-F238E27FC236}">
              <a16:creationId xmlns:a16="http://schemas.microsoft.com/office/drawing/2014/main" id="{00000000-0008-0000-0B00-00000B000000}"/>
            </a:ext>
          </a:extLst>
        </xdr:cNvPr>
        <xdr:cNvSpPr>
          <a:spLocks noChangeAspect="1" noChangeArrowheads="1"/>
        </xdr:cNvSpPr>
      </xdr:nvSpPr>
      <xdr:spPr bwMode="auto">
        <a:xfrm>
          <a:off x="0" y="20821650"/>
          <a:ext cx="304800" cy="1731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39782</xdr:rowOff>
    </xdr:to>
    <xdr:sp macro="" textlink="">
      <xdr:nvSpPr>
        <xdr:cNvPr id="12" name="AutoShape 14" descr="+">
          <a:extLst>
            <a:ext uri="{FF2B5EF4-FFF2-40B4-BE49-F238E27FC236}">
              <a16:creationId xmlns:a16="http://schemas.microsoft.com/office/drawing/2014/main" id="{00000000-0008-0000-0B00-00000C000000}"/>
            </a:ext>
          </a:extLst>
        </xdr:cNvPr>
        <xdr:cNvSpPr>
          <a:spLocks noChangeAspect="1" noChangeArrowheads="1"/>
        </xdr:cNvSpPr>
      </xdr:nvSpPr>
      <xdr:spPr bwMode="auto">
        <a:xfrm>
          <a:off x="0" y="20821650"/>
          <a:ext cx="304800" cy="2017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39779</xdr:rowOff>
    </xdr:to>
    <xdr:sp macro="" textlink="">
      <xdr:nvSpPr>
        <xdr:cNvPr id="13" name="AutoShape 15" descr="+">
          <a:extLst>
            <a:ext uri="{FF2B5EF4-FFF2-40B4-BE49-F238E27FC236}">
              <a16:creationId xmlns:a16="http://schemas.microsoft.com/office/drawing/2014/main" id="{00000000-0008-0000-0B00-00000D000000}"/>
            </a:ext>
          </a:extLst>
        </xdr:cNvPr>
        <xdr:cNvSpPr>
          <a:spLocks noChangeAspect="1" noChangeArrowheads="1"/>
        </xdr:cNvSpPr>
      </xdr:nvSpPr>
      <xdr:spPr bwMode="auto">
        <a:xfrm>
          <a:off x="0" y="20821650"/>
          <a:ext cx="304800" cy="20170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29975</xdr:rowOff>
    </xdr:to>
    <xdr:sp macro="" textlink="">
      <xdr:nvSpPr>
        <xdr:cNvPr id="14" name="AutoShape 16" descr="+">
          <a:extLst>
            <a:ext uri="{FF2B5EF4-FFF2-40B4-BE49-F238E27FC236}">
              <a16:creationId xmlns:a16="http://schemas.microsoft.com/office/drawing/2014/main" id="{00000000-0008-0000-0B00-00000E000000}"/>
            </a:ext>
          </a:extLst>
        </xdr:cNvPr>
        <xdr:cNvSpPr>
          <a:spLocks noChangeAspect="1" noChangeArrowheads="1"/>
        </xdr:cNvSpPr>
      </xdr:nvSpPr>
      <xdr:spPr bwMode="auto">
        <a:xfrm>
          <a:off x="0" y="20821650"/>
          <a:ext cx="304800" cy="1919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16207</xdr:rowOff>
    </xdr:to>
    <xdr:sp macro="" textlink="">
      <xdr:nvSpPr>
        <xdr:cNvPr id="15" name="AutoShape 17" descr="+">
          <a:extLst>
            <a:ext uri="{FF2B5EF4-FFF2-40B4-BE49-F238E27FC236}">
              <a16:creationId xmlns:a16="http://schemas.microsoft.com/office/drawing/2014/main" id="{00000000-0008-0000-0B00-00000F000000}"/>
            </a:ext>
          </a:extLst>
        </xdr:cNvPr>
        <xdr:cNvSpPr>
          <a:spLocks noChangeAspect="1" noChangeArrowheads="1"/>
        </xdr:cNvSpPr>
      </xdr:nvSpPr>
      <xdr:spPr bwMode="auto">
        <a:xfrm>
          <a:off x="0" y="20821650"/>
          <a:ext cx="304800" cy="17813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16209</xdr:rowOff>
    </xdr:to>
    <xdr:sp macro="" textlink="">
      <xdr:nvSpPr>
        <xdr:cNvPr id="16" name="AutoShape 18" descr="+">
          <a:extLst>
            <a:ext uri="{FF2B5EF4-FFF2-40B4-BE49-F238E27FC236}">
              <a16:creationId xmlns:a16="http://schemas.microsoft.com/office/drawing/2014/main" id="{00000000-0008-0000-0B00-000010000000}"/>
            </a:ext>
          </a:extLst>
        </xdr:cNvPr>
        <xdr:cNvSpPr>
          <a:spLocks noChangeAspect="1" noChangeArrowheads="1"/>
        </xdr:cNvSpPr>
      </xdr:nvSpPr>
      <xdr:spPr bwMode="auto">
        <a:xfrm>
          <a:off x="0" y="20821650"/>
          <a:ext cx="304800" cy="17813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17609</xdr:rowOff>
    </xdr:to>
    <xdr:sp macro="" textlink="">
      <xdr:nvSpPr>
        <xdr:cNvPr id="17" name="AutoShape 19" descr="+">
          <a:extLst>
            <a:ext uri="{FF2B5EF4-FFF2-40B4-BE49-F238E27FC236}">
              <a16:creationId xmlns:a16="http://schemas.microsoft.com/office/drawing/2014/main" id="{00000000-0008-0000-0B00-000011000000}"/>
            </a:ext>
          </a:extLst>
        </xdr:cNvPr>
        <xdr:cNvSpPr>
          <a:spLocks noChangeAspect="1" noChangeArrowheads="1"/>
        </xdr:cNvSpPr>
      </xdr:nvSpPr>
      <xdr:spPr bwMode="auto">
        <a:xfrm>
          <a:off x="0" y="20821650"/>
          <a:ext cx="304800" cy="17953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16206</xdr:rowOff>
    </xdr:to>
    <xdr:sp macro="" textlink="">
      <xdr:nvSpPr>
        <xdr:cNvPr id="18" name="AutoShape 20" descr="+">
          <a:extLst>
            <a:ext uri="{FF2B5EF4-FFF2-40B4-BE49-F238E27FC236}">
              <a16:creationId xmlns:a16="http://schemas.microsoft.com/office/drawing/2014/main" id="{00000000-0008-0000-0B00-000012000000}"/>
            </a:ext>
          </a:extLst>
        </xdr:cNvPr>
        <xdr:cNvSpPr>
          <a:spLocks noChangeAspect="1" noChangeArrowheads="1"/>
        </xdr:cNvSpPr>
      </xdr:nvSpPr>
      <xdr:spPr bwMode="auto">
        <a:xfrm>
          <a:off x="0" y="20821650"/>
          <a:ext cx="304800" cy="17813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46186</xdr:rowOff>
    </xdr:to>
    <xdr:sp macro="" textlink="">
      <xdr:nvSpPr>
        <xdr:cNvPr id="19" name="AutoShape 21" descr="+">
          <a:extLst>
            <a:ext uri="{FF2B5EF4-FFF2-40B4-BE49-F238E27FC236}">
              <a16:creationId xmlns:a16="http://schemas.microsoft.com/office/drawing/2014/main" id="{00000000-0008-0000-0B00-000013000000}"/>
            </a:ext>
          </a:extLst>
        </xdr:cNvPr>
        <xdr:cNvSpPr>
          <a:spLocks noChangeAspect="1" noChangeArrowheads="1"/>
        </xdr:cNvSpPr>
      </xdr:nvSpPr>
      <xdr:spPr bwMode="auto">
        <a:xfrm>
          <a:off x="0" y="20821650"/>
          <a:ext cx="304800" cy="2081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46181</xdr:rowOff>
    </xdr:to>
    <xdr:sp macro="" textlink="">
      <xdr:nvSpPr>
        <xdr:cNvPr id="20" name="AutoShape 22" descr="+">
          <a:extLst>
            <a:ext uri="{FF2B5EF4-FFF2-40B4-BE49-F238E27FC236}">
              <a16:creationId xmlns:a16="http://schemas.microsoft.com/office/drawing/2014/main" id="{00000000-0008-0000-0B00-000014000000}"/>
            </a:ext>
          </a:extLst>
        </xdr:cNvPr>
        <xdr:cNvSpPr>
          <a:spLocks noChangeAspect="1" noChangeArrowheads="1"/>
        </xdr:cNvSpPr>
      </xdr:nvSpPr>
      <xdr:spPr bwMode="auto">
        <a:xfrm>
          <a:off x="0" y="20821650"/>
          <a:ext cx="304800" cy="20810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46185</xdr:rowOff>
    </xdr:to>
    <xdr:sp macro="" textlink="">
      <xdr:nvSpPr>
        <xdr:cNvPr id="21" name="AutoShape 23" descr="+">
          <a:extLst>
            <a:ext uri="{FF2B5EF4-FFF2-40B4-BE49-F238E27FC236}">
              <a16:creationId xmlns:a16="http://schemas.microsoft.com/office/drawing/2014/main" id="{00000000-0008-0000-0B00-000015000000}"/>
            </a:ext>
          </a:extLst>
        </xdr:cNvPr>
        <xdr:cNvSpPr>
          <a:spLocks noChangeAspect="1" noChangeArrowheads="1"/>
        </xdr:cNvSpPr>
      </xdr:nvSpPr>
      <xdr:spPr bwMode="auto">
        <a:xfrm>
          <a:off x="0" y="20821650"/>
          <a:ext cx="304800" cy="2081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36658</xdr:rowOff>
    </xdr:to>
    <xdr:sp macro="" textlink="">
      <xdr:nvSpPr>
        <xdr:cNvPr id="22" name="AutoShape 24" descr="+">
          <a:extLst>
            <a:ext uri="{FF2B5EF4-FFF2-40B4-BE49-F238E27FC236}">
              <a16:creationId xmlns:a16="http://schemas.microsoft.com/office/drawing/2014/main" id="{00000000-0008-0000-0B00-000016000000}"/>
            </a:ext>
          </a:extLst>
        </xdr:cNvPr>
        <xdr:cNvSpPr>
          <a:spLocks noChangeAspect="1" noChangeArrowheads="1"/>
        </xdr:cNvSpPr>
      </xdr:nvSpPr>
      <xdr:spPr bwMode="auto">
        <a:xfrm>
          <a:off x="0" y="20821650"/>
          <a:ext cx="304800" cy="19858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46184</xdr:rowOff>
    </xdr:to>
    <xdr:sp macro="" textlink="">
      <xdr:nvSpPr>
        <xdr:cNvPr id="23" name="AutoShape 25" descr="+">
          <a:extLst>
            <a:ext uri="{FF2B5EF4-FFF2-40B4-BE49-F238E27FC236}">
              <a16:creationId xmlns:a16="http://schemas.microsoft.com/office/drawing/2014/main" id="{00000000-0008-0000-0B00-000017000000}"/>
            </a:ext>
          </a:extLst>
        </xdr:cNvPr>
        <xdr:cNvSpPr>
          <a:spLocks noChangeAspect="1" noChangeArrowheads="1"/>
        </xdr:cNvSpPr>
      </xdr:nvSpPr>
      <xdr:spPr bwMode="auto">
        <a:xfrm>
          <a:off x="0" y="20821650"/>
          <a:ext cx="304800" cy="2081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46184</xdr:rowOff>
    </xdr:to>
    <xdr:sp macro="" textlink="">
      <xdr:nvSpPr>
        <xdr:cNvPr id="24" name="AutoShape 26" descr="+">
          <a:extLst>
            <a:ext uri="{FF2B5EF4-FFF2-40B4-BE49-F238E27FC236}">
              <a16:creationId xmlns:a16="http://schemas.microsoft.com/office/drawing/2014/main" id="{00000000-0008-0000-0B00-000018000000}"/>
            </a:ext>
          </a:extLst>
        </xdr:cNvPr>
        <xdr:cNvSpPr>
          <a:spLocks noChangeAspect="1" noChangeArrowheads="1"/>
        </xdr:cNvSpPr>
      </xdr:nvSpPr>
      <xdr:spPr bwMode="auto">
        <a:xfrm>
          <a:off x="0" y="20821650"/>
          <a:ext cx="304800" cy="2081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17609</xdr:rowOff>
    </xdr:to>
    <xdr:sp macro="" textlink="">
      <xdr:nvSpPr>
        <xdr:cNvPr id="25" name="AutoShape 27" descr="+">
          <a:extLst>
            <a:ext uri="{FF2B5EF4-FFF2-40B4-BE49-F238E27FC236}">
              <a16:creationId xmlns:a16="http://schemas.microsoft.com/office/drawing/2014/main" id="{00000000-0008-0000-0B00-000019000000}"/>
            </a:ext>
          </a:extLst>
        </xdr:cNvPr>
        <xdr:cNvSpPr>
          <a:spLocks noChangeAspect="1" noChangeArrowheads="1"/>
        </xdr:cNvSpPr>
      </xdr:nvSpPr>
      <xdr:spPr bwMode="auto">
        <a:xfrm>
          <a:off x="0" y="20821650"/>
          <a:ext cx="304800" cy="17953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46181</xdr:rowOff>
    </xdr:to>
    <xdr:sp macro="" textlink="">
      <xdr:nvSpPr>
        <xdr:cNvPr id="26" name="AutoShape 28" descr="+">
          <a:extLst>
            <a:ext uri="{FF2B5EF4-FFF2-40B4-BE49-F238E27FC236}">
              <a16:creationId xmlns:a16="http://schemas.microsoft.com/office/drawing/2014/main" id="{00000000-0008-0000-0B00-00001A000000}"/>
            </a:ext>
          </a:extLst>
        </xdr:cNvPr>
        <xdr:cNvSpPr>
          <a:spLocks noChangeAspect="1" noChangeArrowheads="1"/>
        </xdr:cNvSpPr>
      </xdr:nvSpPr>
      <xdr:spPr bwMode="auto">
        <a:xfrm>
          <a:off x="0" y="20821650"/>
          <a:ext cx="304800" cy="20810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39785</xdr:rowOff>
    </xdr:to>
    <xdr:sp macro="" textlink="">
      <xdr:nvSpPr>
        <xdr:cNvPr id="27" name="AutoShape 29" descr="+">
          <a:extLst>
            <a:ext uri="{FF2B5EF4-FFF2-40B4-BE49-F238E27FC236}">
              <a16:creationId xmlns:a16="http://schemas.microsoft.com/office/drawing/2014/main" id="{00000000-0008-0000-0B00-00001B000000}"/>
            </a:ext>
          </a:extLst>
        </xdr:cNvPr>
        <xdr:cNvSpPr>
          <a:spLocks noChangeAspect="1" noChangeArrowheads="1"/>
        </xdr:cNvSpPr>
      </xdr:nvSpPr>
      <xdr:spPr bwMode="auto">
        <a:xfrm>
          <a:off x="0" y="20821650"/>
          <a:ext cx="304800" cy="2017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9805</xdr:rowOff>
    </xdr:to>
    <xdr:sp macro="" textlink="">
      <xdr:nvSpPr>
        <xdr:cNvPr id="28" name="AutoShape 30" descr="+">
          <a:extLst>
            <a:ext uri="{FF2B5EF4-FFF2-40B4-BE49-F238E27FC236}">
              <a16:creationId xmlns:a16="http://schemas.microsoft.com/office/drawing/2014/main" id="{00000000-0008-0000-0B00-00001C000000}"/>
            </a:ext>
          </a:extLst>
        </xdr:cNvPr>
        <xdr:cNvSpPr>
          <a:spLocks noChangeAspect="1" noChangeArrowheads="1"/>
        </xdr:cNvSpPr>
      </xdr:nvSpPr>
      <xdr:spPr bwMode="auto">
        <a:xfrm>
          <a:off x="0" y="20821650"/>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9804</xdr:rowOff>
    </xdr:to>
    <xdr:sp macro="" textlink="">
      <xdr:nvSpPr>
        <xdr:cNvPr id="29" name="AutoShape 31" descr="+">
          <a:extLst>
            <a:ext uri="{FF2B5EF4-FFF2-40B4-BE49-F238E27FC236}">
              <a16:creationId xmlns:a16="http://schemas.microsoft.com/office/drawing/2014/main" id="{00000000-0008-0000-0B00-00001D000000}"/>
            </a:ext>
          </a:extLst>
        </xdr:cNvPr>
        <xdr:cNvSpPr>
          <a:spLocks noChangeAspect="1" noChangeArrowheads="1"/>
        </xdr:cNvSpPr>
      </xdr:nvSpPr>
      <xdr:spPr bwMode="auto">
        <a:xfrm>
          <a:off x="0" y="20821650"/>
          <a:ext cx="304800" cy="17172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48584</xdr:rowOff>
    </xdr:to>
    <xdr:sp macro="" textlink="">
      <xdr:nvSpPr>
        <xdr:cNvPr id="30" name="AutoShape 32" descr="+">
          <a:extLst>
            <a:ext uri="{FF2B5EF4-FFF2-40B4-BE49-F238E27FC236}">
              <a16:creationId xmlns:a16="http://schemas.microsoft.com/office/drawing/2014/main" id="{00000000-0008-0000-0B00-00001E000000}"/>
            </a:ext>
          </a:extLst>
        </xdr:cNvPr>
        <xdr:cNvSpPr>
          <a:spLocks noChangeAspect="1" noChangeArrowheads="1"/>
        </xdr:cNvSpPr>
      </xdr:nvSpPr>
      <xdr:spPr bwMode="auto">
        <a:xfrm>
          <a:off x="0" y="20821650"/>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41162</xdr:rowOff>
    </xdr:to>
    <xdr:sp macro="" textlink="">
      <xdr:nvSpPr>
        <xdr:cNvPr id="31" name="AutoShape 33" descr="+">
          <a:extLst>
            <a:ext uri="{FF2B5EF4-FFF2-40B4-BE49-F238E27FC236}">
              <a16:creationId xmlns:a16="http://schemas.microsoft.com/office/drawing/2014/main" id="{00000000-0008-0000-0B00-00001F000000}"/>
            </a:ext>
          </a:extLst>
        </xdr:cNvPr>
        <xdr:cNvSpPr>
          <a:spLocks noChangeAspect="1" noChangeArrowheads="1"/>
        </xdr:cNvSpPr>
      </xdr:nvSpPr>
      <xdr:spPr bwMode="auto">
        <a:xfrm>
          <a:off x="0" y="20821650"/>
          <a:ext cx="304800" cy="20308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48587</xdr:rowOff>
    </xdr:to>
    <xdr:sp macro="" textlink="">
      <xdr:nvSpPr>
        <xdr:cNvPr id="32" name="AutoShape 34" descr="+">
          <a:extLst>
            <a:ext uri="{FF2B5EF4-FFF2-40B4-BE49-F238E27FC236}">
              <a16:creationId xmlns:a16="http://schemas.microsoft.com/office/drawing/2014/main" id="{00000000-0008-0000-0B00-000020000000}"/>
            </a:ext>
          </a:extLst>
        </xdr:cNvPr>
        <xdr:cNvSpPr>
          <a:spLocks noChangeAspect="1" noChangeArrowheads="1"/>
        </xdr:cNvSpPr>
      </xdr:nvSpPr>
      <xdr:spPr bwMode="auto">
        <a:xfrm>
          <a:off x="0" y="20821650"/>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9805</xdr:rowOff>
    </xdr:to>
    <xdr:sp macro="" textlink="">
      <xdr:nvSpPr>
        <xdr:cNvPr id="33" name="AutoShape 52" descr="+">
          <a:extLst>
            <a:ext uri="{FF2B5EF4-FFF2-40B4-BE49-F238E27FC236}">
              <a16:creationId xmlns:a16="http://schemas.microsoft.com/office/drawing/2014/main" id="{00000000-0008-0000-0B00-000021000000}"/>
            </a:ext>
          </a:extLst>
        </xdr:cNvPr>
        <xdr:cNvSpPr>
          <a:spLocks noChangeAspect="1" noChangeArrowheads="1"/>
        </xdr:cNvSpPr>
      </xdr:nvSpPr>
      <xdr:spPr bwMode="auto">
        <a:xfrm>
          <a:off x="0" y="20821650"/>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9804</xdr:rowOff>
    </xdr:to>
    <xdr:sp macro="" textlink="">
      <xdr:nvSpPr>
        <xdr:cNvPr id="34" name="AutoShape 53" descr="+">
          <a:extLst>
            <a:ext uri="{FF2B5EF4-FFF2-40B4-BE49-F238E27FC236}">
              <a16:creationId xmlns:a16="http://schemas.microsoft.com/office/drawing/2014/main" id="{00000000-0008-0000-0B00-000022000000}"/>
            </a:ext>
          </a:extLst>
        </xdr:cNvPr>
        <xdr:cNvSpPr>
          <a:spLocks noChangeAspect="1" noChangeArrowheads="1"/>
        </xdr:cNvSpPr>
      </xdr:nvSpPr>
      <xdr:spPr bwMode="auto">
        <a:xfrm>
          <a:off x="0" y="20821650"/>
          <a:ext cx="304800" cy="17172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24772</xdr:rowOff>
    </xdr:to>
    <xdr:sp macro="" textlink="">
      <xdr:nvSpPr>
        <xdr:cNvPr id="35" name="AutoShape 54" descr="+">
          <a:extLst>
            <a:ext uri="{FF2B5EF4-FFF2-40B4-BE49-F238E27FC236}">
              <a16:creationId xmlns:a16="http://schemas.microsoft.com/office/drawing/2014/main" id="{00000000-0008-0000-0B00-000023000000}"/>
            </a:ext>
          </a:extLst>
        </xdr:cNvPr>
        <xdr:cNvSpPr>
          <a:spLocks noChangeAspect="1" noChangeArrowheads="1"/>
        </xdr:cNvSpPr>
      </xdr:nvSpPr>
      <xdr:spPr bwMode="auto">
        <a:xfrm>
          <a:off x="0" y="20821650"/>
          <a:ext cx="304800" cy="18669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9805</xdr:rowOff>
    </xdr:to>
    <xdr:sp macro="" textlink="">
      <xdr:nvSpPr>
        <xdr:cNvPr id="36" name="AutoShape 55" descr="+">
          <a:extLst>
            <a:ext uri="{FF2B5EF4-FFF2-40B4-BE49-F238E27FC236}">
              <a16:creationId xmlns:a16="http://schemas.microsoft.com/office/drawing/2014/main" id="{00000000-0008-0000-0B00-000024000000}"/>
            </a:ext>
          </a:extLst>
        </xdr:cNvPr>
        <xdr:cNvSpPr>
          <a:spLocks noChangeAspect="1" noChangeArrowheads="1"/>
        </xdr:cNvSpPr>
      </xdr:nvSpPr>
      <xdr:spPr bwMode="auto">
        <a:xfrm>
          <a:off x="0" y="20821650"/>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48585</xdr:rowOff>
    </xdr:to>
    <xdr:sp macro="" textlink="">
      <xdr:nvSpPr>
        <xdr:cNvPr id="37" name="AutoShape 56" descr="+">
          <a:extLst>
            <a:ext uri="{FF2B5EF4-FFF2-40B4-BE49-F238E27FC236}">
              <a16:creationId xmlns:a16="http://schemas.microsoft.com/office/drawing/2014/main" id="{00000000-0008-0000-0B00-000025000000}"/>
            </a:ext>
          </a:extLst>
        </xdr:cNvPr>
        <xdr:cNvSpPr>
          <a:spLocks noChangeAspect="1" noChangeArrowheads="1"/>
        </xdr:cNvSpPr>
      </xdr:nvSpPr>
      <xdr:spPr bwMode="auto">
        <a:xfrm>
          <a:off x="0" y="20821650"/>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48583</xdr:rowOff>
    </xdr:to>
    <xdr:sp macro="" textlink="">
      <xdr:nvSpPr>
        <xdr:cNvPr id="38" name="AutoShape 57" descr="+">
          <a:extLst>
            <a:ext uri="{FF2B5EF4-FFF2-40B4-BE49-F238E27FC236}">
              <a16:creationId xmlns:a16="http://schemas.microsoft.com/office/drawing/2014/main" id="{00000000-0008-0000-0B00-000026000000}"/>
            </a:ext>
          </a:extLst>
        </xdr:cNvPr>
        <xdr:cNvSpPr>
          <a:spLocks noChangeAspect="1" noChangeArrowheads="1"/>
        </xdr:cNvSpPr>
      </xdr:nvSpPr>
      <xdr:spPr bwMode="auto">
        <a:xfrm>
          <a:off x="0" y="20821650"/>
          <a:ext cx="304800" cy="2105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48586</xdr:rowOff>
    </xdr:to>
    <xdr:sp macro="" textlink="">
      <xdr:nvSpPr>
        <xdr:cNvPr id="39" name="AutoShape 58" descr="+">
          <a:extLst>
            <a:ext uri="{FF2B5EF4-FFF2-40B4-BE49-F238E27FC236}">
              <a16:creationId xmlns:a16="http://schemas.microsoft.com/office/drawing/2014/main" id="{00000000-0008-0000-0B00-000027000000}"/>
            </a:ext>
          </a:extLst>
        </xdr:cNvPr>
        <xdr:cNvSpPr>
          <a:spLocks noChangeAspect="1" noChangeArrowheads="1"/>
        </xdr:cNvSpPr>
      </xdr:nvSpPr>
      <xdr:spPr bwMode="auto">
        <a:xfrm>
          <a:off x="0" y="20821650"/>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142875</xdr:rowOff>
    </xdr:to>
    <xdr:sp macro="" textlink="">
      <xdr:nvSpPr>
        <xdr:cNvPr id="40" name="AutoShape 59" descr="+">
          <a:extLst>
            <a:ext uri="{FF2B5EF4-FFF2-40B4-BE49-F238E27FC236}">
              <a16:creationId xmlns:a16="http://schemas.microsoft.com/office/drawing/2014/main" id="{00000000-0008-0000-0B00-000028000000}"/>
            </a:ext>
          </a:extLst>
        </xdr:cNvPr>
        <xdr:cNvSpPr>
          <a:spLocks noChangeAspect="1" noChangeArrowheads="1"/>
        </xdr:cNvSpPr>
      </xdr:nvSpPr>
      <xdr:spPr bwMode="auto">
        <a:xfrm>
          <a:off x="0" y="20821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20011</xdr:rowOff>
    </xdr:to>
    <xdr:sp macro="" textlink="">
      <xdr:nvSpPr>
        <xdr:cNvPr id="41" name="AutoShape 60" descr="+">
          <a:extLst>
            <a:ext uri="{FF2B5EF4-FFF2-40B4-BE49-F238E27FC236}">
              <a16:creationId xmlns:a16="http://schemas.microsoft.com/office/drawing/2014/main" id="{00000000-0008-0000-0B00-000029000000}"/>
            </a:ext>
          </a:extLst>
        </xdr:cNvPr>
        <xdr:cNvSpPr>
          <a:spLocks noChangeAspect="1" noChangeArrowheads="1"/>
        </xdr:cNvSpPr>
      </xdr:nvSpPr>
      <xdr:spPr bwMode="auto">
        <a:xfrm>
          <a:off x="0" y="20821650"/>
          <a:ext cx="304800" cy="18193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48584</xdr:rowOff>
    </xdr:to>
    <xdr:sp macro="" textlink="">
      <xdr:nvSpPr>
        <xdr:cNvPr id="42" name="AutoShape 61" descr="+">
          <a:extLst>
            <a:ext uri="{FF2B5EF4-FFF2-40B4-BE49-F238E27FC236}">
              <a16:creationId xmlns:a16="http://schemas.microsoft.com/office/drawing/2014/main" id="{00000000-0008-0000-0B00-00002A000000}"/>
            </a:ext>
          </a:extLst>
        </xdr:cNvPr>
        <xdr:cNvSpPr>
          <a:spLocks noChangeAspect="1" noChangeArrowheads="1"/>
        </xdr:cNvSpPr>
      </xdr:nvSpPr>
      <xdr:spPr bwMode="auto">
        <a:xfrm>
          <a:off x="0" y="20821650"/>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48585</xdr:rowOff>
    </xdr:to>
    <xdr:sp macro="" textlink="">
      <xdr:nvSpPr>
        <xdr:cNvPr id="43" name="AutoShape 62" descr="+">
          <a:extLst>
            <a:ext uri="{FF2B5EF4-FFF2-40B4-BE49-F238E27FC236}">
              <a16:creationId xmlns:a16="http://schemas.microsoft.com/office/drawing/2014/main" id="{00000000-0008-0000-0B00-00002B000000}"/>
            </a:ext>
          </a:extLst>
        </xdr:cNvPr>
        <xdr:cNvSpPr>
          <a:spLocks noChangeAspect="1" noChangeArrowheads="1"/>
        </xdr:cNvSpPr>
      </xdr:nvSpPr>
      <xdr:spPr bwMode="auto">
        <a:xfrm>
          <a:off x="0" y="20821650"/>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48585</xdr:rowOff>
    </xdr:to>
    <xdr:sp macro="" textlink="">
      <xdr:nvSpPr>
        <xdr:cNvPr id="44" name="AutoShape 63" descr="+">
          <a:extLst>
            <a:ext uri="{FF2B5EF4-FFF2-40B4-BE49-F238E27FC236}">
              <a16:creationId xmlns:a16="http://schemas.microsoft.com/office/drawing/2014/main" id="{00000000-0008-0000-0B00-00002C000000}"/>
            </a:ext>
          </a:extLst>
        </xdr:cNvPr>
        <xdr:cNvSpPr>
          <a:spLocks noChangeAspect="1" noChangeArrowheads="1"/>
        </xdr:cNvSpPr>
      </xdr:nvSpPr>
      <xdr:spPr bwMode="auto">
        <a:xfrm>
          <a:off x="0" y="20821650"/>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48586</xdr:rowOff>
    </xdr:to>
    <xdr:sp macro="" textlink="">
      <xdr:nvSpPr>
        <xdr:cNvPr id="45" name="AutoShape 64" descr="+">
          <a:extLst>
            <a:ext uri="{FF2B5EF4-FFF2-40B4-BE49-F238E27FC236}">
              <a16:creationId xmlns:a16="http://schemas.microsoft.com/office/drawing/2014/main" id="{00000000-0008-0000-0B00-00002D000000}"/>
            </a:ext>
          </a:extLst>
        </xdr:cNvPr>
        <xdr:cNvSpPr>
          <a:spLocks noChangeAspect="1" noChangeArrowheads="1"/>
        </xdr:cNvSpPr>
      </xdr:nvSpPr>
      <xdr:spPr bwMode="auto">
        <a:xfrm>
          <a:off x="0" y="20821650"/>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24770</xdr:rowOff>
    </xdr:to>
    <xdr:sp macro="" textlink="">
      <xdr:nvSpPr>
        <xdr:cNvPr id="46" name="AutoShape 65" descr="+">
          <a:extLst>
            <a:ext uri="{FF2B5EF4-FFF2-40B4-BE49-F238E27FC236}">
              <a16:creationId xmlns:a16="http://schemas.microsoft.com/office/drawing/2014/main" id="{00000000-0008-0000-0B00-00002E000000}"/>
            </a:ext>
          </a:extLst>
        </xdr:cNvPr>
        <xdr:cNvSpPr>
          <a:spLocks noChangeAspect="1" noChangeArrowheads="1"/>
        </xdr:cNvSpPr>
      </xdr:nvSpPr>
      <xdr:spPr bwMode="auto">
        <a:xfrm>
          <a:off x="0" y="20821650"/>
          <a:ext cx="304800" cy="1866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48586</xdr:rowOff>
    </xdr:to>
    <xdr:sp macro="" textlink="">
      <xdr:nvSpPr>
        <xdr:cNvPr id="47" name="AutoShape 66" descr="+">
          <a:extLst>
            <a:ext uri="{FF2B5EF4-FFF2-40B4-BE49-F238E27FC236}">
              <a16:creationId xmlns:a16="http://schemas.microsoft.com/office/drawing/2014/main" id="{00000000-0008-0000-0B00-00002F000000}"/>
            </a:ext>
          </a:extLst>
        </xdr:cNvPr>
        <xdr:cNvSpPr>
          <a:spLocks noChangeAspect="1" noChangeArrowheads="1"/>
        </xdr:cNvSpPr>
      </xdr:nvSpPr>
      <xdr:spPr bwMode="auto">
        <a:xfrm>
          <a:off x="0" y="20821650"/>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42182</xdr:rowOff>
    </xdr:to>
    <xdr:sp macro="" textlink="">
      <xdr:nvSpPr>
        <xdr:cNvPr id="48" name="AutoShape 67" descr="+">
          <a:extLst>
            <a:ext uri="{FF2B5EF4-FFF2-40B4-BE49-F238E27FC236}">
              <a16:creationId xmlns:a16="http://schemas.microsoft.com/office/drawing/2014/main" id="{00000000-0008-0000-0B00-000030000000}"/>
            </a:ext>
          </a:extLst>
        </xdr:cNvPr>
        <xdr:cNvSpPr>
          <a:spLocks noChangeAspect="1" noChangeArrowheads="1"/>
        </xdr:cNvSpPr>
      </xdr:nvSpPr>
      <xdr:spPr bwMode="auto">
        <a:xfrm>
          <a:off x="0" y="20821650"/>
          <a:ext cx="304800" cy="2041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42182</xdr:rowOff>
    </xdr:to>
    <xdr:sp macro="" textlink="">
      <xdr:nvSpPr>
        <xdr:cNvPr id="49" name="AutoShape 68" descr="+">
          <a:extLst>
            <a:ext uri="{FF2B5EF4-FFF2-40B4-BE49-F238E27FC236}">
              <a16:creationId xmlns:a16="http://schemas.microsoft.com/office/drawing/2014/main" id="{00000000-0008-0000-0B00-000031000000}"/>
            </a:ext>
          </a:extLst>
        </xdr:cNvPr>
        <xdr:cNvSpPr>
          <a:spLocks noChangeAspect="1" noChangeArrowheads="1"/>
        </xdr:cNvSpPr>
      </xdr:nvSpPr>
      <xdr:spPr bwMode="auto">
        <a:xfrm>
          <a:off x="0" y="20821650"/>
          <a:ext cx="304800" cy="2041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9805</xdr:rowOff>
    </xdr:to>
    <xdr:sp macro="" textlink="">
      <xdr:nvSpPr>
        <xdr:cNvPr id="50" name="AutoShape 69" descr="+">
          <a:extLst>
            <a:ext uri="{FF2B5EF4-FFF2-40B4-BE49-F238E27FC236}">
              <a16:creationId xmlns:a16="http://schemas.microsoft.com/office/drawing/2014/main" id="{00000000-0008-0000-0B00-000032000000}"/>
            </a:ext>
          </a:extLst>
        </xdr:cNvPr>
        <xdr:cNvSpPr>
          <a:spLocks noChangeAspect="1" noChangeArrowheads="1"/>
        </xdr:cNvSpPr>
      </xdr:nvSpPr>
      <xdr:spPr bwMode="auto">
        <a:xfrm>
          <a:off x="0" y="20821650"/>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14566</xdr:rowOff>
    </xdr:to>
    <xdr:sp macro="" textlink="">
      <xdr:nvSpPr>
        <xdr:cNvPr id="51" name="AutoShape 70" descr="+">
          <a:extLst>
            <a:ext uri="{FF2B5EF4-FFF2-40B4-BE49-F238E27FC236}">
              <a16:creationId xmlns:a16="http://schemas.microsoft.com/office/drawing/2014/main" id="{00000000-0008-0000-0B00-000033000000}"/>
            </a:ext>
          </a:extLst>
        </xdr:cNvPr>
        <xdr:cNvSpPr>
          <a:spLocks noChangeAspect="1" noChangeArrowheads="1"/>
        </xdr:cNvSpPr>
      </xdr:nvSpPr>
      <xdr:spPr bwMode="auto">
        <a:xfrm>
          <a:off x="0" y="20821650"/>
          <a:ext cx="304800" cy="17649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9806</xdr:rowOff>
    </xdr:to>
    <xdr:sp macro="" textlink="">
      <xdr:nvSpPr>
        <xdr:cNvPr id="52" name="AutoShape 71" descr="+">
          <a:extLst>
            <a:ext uri="{FF2B5EF4-FFF2-40B4-BE49-F238E27FC236}">
              <a16:creationId xmlns:a16="http://schemas.microsoft.com/office/drawing/2014/main" id="{00000000-0008-0000-0B00-000034000000}"/>
            </a:ext>
          </a:extLst>
        </xdr:cNvPr>
        <xdr:cNvSpPr>
          <a:spLocks noChangeAspect="1" noChangeArrowheads="1"/>
        </xdr:cNvSpPr>
      </xdr:nvSpPr>
      <xdr:spPr bwMode="auto">
        <a:xfrm>
          <a:off x="0" y="20821650"/>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48583</xdr:rowOff>
    </xdr:to>
    <xdr:sp macro="" textlink="">
      <xdr:nvSpPr>
        <xdr:cNvPr id="53" name="AutoShape 72" descr="+">
          <a:extLst>
            <a:ext uri="{FF2B5EF4-FFF2-40B4-BE49-F238E27FC236}">
              <a16:creationId xmlns:a16="http://schemas.microsoft.com/office/drawing/2014/main" id="{00000000-0008-0000-0B00-000035000000}"/>
            </a:ext>
          </a:extLst>
        </xdr:cNvPr>
        <xdr:cNvSpPr>
          <a:spLocks noChangeAspect="1" noChangeArrowheads="1"/>
        </xdr:cNvSpPr>
      </xdr:nvSpPr>
      <xdr:spPr bwMode="auto">
        <a:xfrm>
          <a:off x="0" y="20821650"/>
          <a:ext cx="304800" cy="2105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48586</xdr:rowOff>
    </xdr:to>
    <xdr:sp macro="" textlink="">
      <xdr:nvSpPr>
        <xdr:cNvPr id="54" name="AutoShape 73" descr="+">
          <a:extLst>
            <a:ext uri="{FF2B5EF4-FFF2-40B4-BE49-F238E27FC236}">
              <a16:creationId xmlns:a16="http://schemas.microsoft.com/office/drawing/2014/main" id="{00000000-0008-0000-0B00-000036000000}"/>
            </a:ext>
          </a:extLst>
        </xdr:cNvPr>
        <xdr:cNvSpPr>
          <a:spLocks noChangeAspect="1" noChangeArrowheads="1"/>
        </xdr:cNvSpPr>
      </xdr:nvSpPr>
      <xdr:spPr bwMode="auto">
        <a:xfrm>
          <a:off x="0" y="20821650"/>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48584</xdr:rowOff>
    </xdr:to>
    <xdr:sp macro="" textlink="">
      <xdr:nvSpPr>
        <xdr:cNvPr id="55" name="AutoShape 74" descr="+">
          <a:extLst>
            <a:ext uri="{FF2B5EF4-FFF2-40B4-BE49-F238E27FC236}">
              <a16:creationId xmlns:a16="http://schemas.microsoft.com/office/drawing/2014/main" id="{00000000-0008-0000-0B00-000037000000}"/>
            </a:ext>
          </a:extLst>
        </xdr:cNvPr>
        <xdr:cNvSpPr>
          <a:spLocks noChangeAspect="1" noChangeArrowheads="1"/>
        </xdr:cNvSpPr>
      </xdr:nvSpPr>
      <xdr:spPr bwMode="auto">
        <a:xfrm>
          <a:off x="0" y="20821650"/>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48586</xdr:rowOff>
    </xdr:to>
    <xdr:sp macro="" textlink="">
      <xdr:nvSpPr>
        <xdr:cNvPr id="56" name="AutoShape 75" descr="+">
          <a:extLst>
            <a:ext uri="{FF2B5EF4-FFF2-40B4-BE49-F238E27FC236}">
              <a16:creationId xmlns:a16="http://schemas.microsoft.com/office/drawing/2014/main" id="{00000000-0008-0000-0B00-000038000000}"/>
            </a:ext>
          </a:extLst>
        </xdr:cNvPr>
        <xdr:cNvSpPr>
          <a:spLocks noChangeAspect="1" noChangeArrowheads="1"/>
        </xdr:cNvSpPr>
      </xdr:nvSpPr>
      <xdr:spPr bwMode="auto">
        <a:xfrm>
          <a:off x="0" y="20821650"/>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48583</xdr:rowOff>
    </xdr:to>
    <xdr:sp macro="" textlink="">
      <xdr:nvSpPr>
        <xdr:cNvPr id="57" name="AutoShape 76" descr="+">
          <a:extLst>
            <a:ext uri="{FF2B5EF4-FFF2-40B4-BE49-F238E27FC236}">
              <a16:creationId xmlns:a16="http://schemas.microsoft.com/office/drawing/2014/main" id="{00000000-0008-0000-0B00-000039000000}"/>
            </a:ext>
          </a:extLst>
        </xdr:cNvPr>
        <xdr:cNvSpPr>
          <a:spLocks noChangeAspect="1" noChangeArrowheads="1"/>
        </xdr:cNvSpPr>
      </xdr:nvSpPr>
      <xdr:spPr bwMode="auto">
        <a:xfrm>
          <a:off x="0" y="20821650"/>
          <a:ext cx="304800" cy="2105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48585</xdr:rowOff>
    </xdr:to>
    <xdr:sp macro="" textlink="">
      <xdr:nvSpPr>
        <xdr:cNvPr id="58" name="AutoShape 77" descr="+">
          <a:extLst>
            <a:ext uri="{FF2B5EF4-FFF2-40B4-BE49-F238E27FC236}">
              <a16:creationId xmlns:a16="http://schemas.microsoft.com/office/drawing/2014/main" id="{00000000-0008-0000-0B00-00003A000000}"/>
            </a:ext>
          </a:extLst>
        </xdr:cNvPr>
        <xdr:cNvSpPr>
          <a:spLocks noChangeAspect="1" noChangeArrowheads="1"/>
        </xdr:cNvSpPr>
      </xdr:nvSpPr>
      <xdr:spPr bwMode="auto">
        <a:xfrm>
          <a:off x="0" y="20821650"/>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48583</xdr:rowOff>
    </xdr:to>
    <xdr:sp macro="" textlink="">
      <xdr:nvSpPr>
        <xdr:cNvPr id="59" name="AutoShape 78" descr="+">
          <a:extLst>
            <a:ext uri="{FF2B5EF4-FFF2-40B4-BE49-F238E27FC236}">
              <a16:creationId xmlns:a16="http://schemas.microsoft.com/office/drawing/2014/main" id="{00000000-0008-0000-0B00-00003B000000}"/>
            </a:ext>
          </a:extLst>
        </xdr:cNvPr>
        <xdr:cNvSpPr>
          <a:spLocks noChangeAspect="1" noChangeArrowheads="1"/>
        </xdr:cNvSpPr>
      </xdr:nvSpPr>
      <xdr:spPr bwMode="auto">
        <a:xfrm>
          <a:off x="0" y="20821650"/>
          <a:ext cx="304800" cy="2105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4763</xdr:rowOff>
    </xdr:to>
    <xdr:sp macro="" textlink="">
      <xdr:nvSpPr>
        <xdr:cNvPr id="60" name="AutoShape 79" descr="+">
          <a:extLst>
            <a:ext uri="{FF2B5EF4-FFF2-40B4-BE49-F238E27FC236}">
              <a16:creationId xmlns:a16="http://schemas.microsoft.com/office/drawing/2014/main" id="{00000000-0008-0000-0B00-00003C000000}"/>
            </a:ext>
          </a:extLst>
        </xdr:cNvPr>
        <xdr:cNvSpPr>
          <a:spLocks noChangeAspect="1" noChangeArrowheads="1"/>
        </xdr:cNvSpPr>
      </xdr:nvSpPr>
      <xdr:spPr bwMode="auto">
        <a:xfrm>
          <a:off x="0" y="21621750"/>
          <a:ext cx="304800" cy="16668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4762</xdr:rowOff>
    </xdr:to>
    <xdr:sp macro="" textlink="">
      <xdr:nvSpPr>
        <xdr:cNvPr id="61" name="AutoShape 80" descr="+">
          <a:extLst>
            <a:ext uri="{FF2B5EF4-FFF2-40B4-BE49-F238E27FC236}">
              <a16:creationId xmlns:a16="http://schemas.microsoft.com/office/drawing/2014/main" id="{00000000-0008-0000-0B00-00003D000000}"/>
            </a:ext>
          </a:extLst>
        </xdr:cNvPr>
        <xdr:cNvSpPr>
          <a:spLocks noChangeAspect="1" noChangeArrowheads="1"/>
        </xdr:cNvSpPr>
      </xdr:nvSpPr>
      <xdr:spPr bwMode="auto">
        <a:xfrm>
          <a:off x="0" y="21716999"/>
          <a:ext cx="304800" cy="16668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19729</xdr:rowOff>
    </xdr:to>
    <xdr:sp macro="" textlink="">
      <xdr:nvSpPr>
        <xdr:cNvPr id="62" name="AutoShape 81" descr="+">
          <a:extLst>
            <a:ext uri="{FF2B5EF4-FFF2-40B4-BE49-F238E27FC236}">
              <a16:creationId xmlns:a16="http://schemas.microsoft.com/office/drawing/2014/main" id="{00000000-0008-0000-0B00-00003E000000}"/>
            </a:ext>
          </a:extLst>
        </xdr:cNvPr>
        <xdr:cNvSpPr>
          <a:spLocks noChangeAspect="1" noChangeArrowheads="1"/>
        </xdr:cNvSpPr>
      </xdr:nvSpPr>
      <xdr:spPr bwMode="auto">
        <a:xfrm>
          <a:off x="0" y="22002750"/>
          <a:ext cx="304800" cy="18165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4762</xdr:rowOff>
    </xdr:to>
    <xdr:sp macro="" textlink="">
      <xdr:nvSpPr>
        <xdr:cNvPr id="63" name="AutoShape 82" descr="+">
          <a:extLst>
            <a:ext uri="{FF2B5EF4-FFF2-40B4-BE49-F238E27FC236}">
              <a16:creationId xmlns:a16="http://schemas.microsoft.com/office/drawing/2014/main" id="{00000000-0008-0000-0B00-00003F000000}"/>
            </a:ext>
          </a:extLst>
        </xdr:cNvPr>
        <xdr:cNvSpPr>
          <a:spLocks noChangeAspect="1" noChangeArrowheads="1"/>
        </xdr:cNvSpPr>
      </xdr:nvSpPr>
      <xdr:spPr bwMode="auto">
        <a:xfrm>
          <a:off x="0" y="22193250"/>
          <a:ext cx="304800" cy="16668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43545</xdr:rowOff>
    </xdr:to>
    <xdr:sp macro="" textlink="">
      <xdr:nvSpPr>
        <xdr:cNvPr id="64" name="AutoShape 83" descr="+">
          <a:extLst>
            <a:ext uri="{FF2B5EF4-FFF2-40B4-BE49-F238E27FC236}">
              <a16:creationId xmlns:a16="http://schemas.microsoft.com/office/drawing/2014/main" id="{00000000-0008-0000-0B00-000040000000}"/>
            </a:ext>
          </a:extLst>
        </xdr:cNvPr>
        <xdr:cNvSpPr>
          <a:spLocks noChangeAspect="1" noChangeArrowheads="1"/>
        </xdr:cNvSpPr>
      </xdr:nvSpPr>
      <xdr:spPr bwMode="auto">
        <a:xfrm>
          <a:off x="0" y="22383750"/>
          <a:ext cx="304800" cy="20547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43543</xdr:rowOff>
    </xdr:to>
    <xdr:sp macro="" textlink="">
      <xdr:nvSpPr>
        <xdr:cNvPr id="65" name="AutoShape 84" descr="+">
          <a:extLst>
            <a:ext uri="{FF2B5EF4-FFF2-40B4-BE49-F238E27FC236}">
              <a16:creationId xmlns:a16="http://schemas.microsoft.com/office/drawing/2014/main" id="{00000000-0008-0000-0B00-000041000000}"/>
            </a:ext>
          </a:extLst>
        </xdr:cNvPr>
        <xdr:cNvSpPr>
          <a:spLocks noChangeAspect="1" noChangeArrowheads="1"/>
        </xdr:cNvSpPr>
      </xdr:nvSpPr>
      <xdr:spPr bwMode="auto">
        <a:xfrm>
          <a:off x="0" y="22574250"/>
          <a:ext cx="304800" cy="20546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43542</xdr:rowOff>
    </xdr:to>
    <xdr:sp macro="" textlink="">
      <xdr:nvSpPr>
        <xdr:cNvPr id="66" name="AutoShape 85" descr="+">
          <a:extLst>
            <a:ext uri="{FF2B5EF4-FFF2-40B4-BE49-F238E27FC236}">
              <a16:creationId xmlns:a16="http://schemas.microsoft.com/office/drawing/2014/main" id="{00000000-0008-0000-0B00-000042000000}"/>
            </a:ext>
          </a:extLst>
        </xdr:cNvPr>
        <xdr:cNvSpPr>
          <a:spLocks noChangeAspect="1" noChangeArrowheads="1"/>
        </xdr:cNvSpPr>
      </xdr:nvSpPr>
      <xdr:spPr bwMode="auto">
        <a:xfrm>
          <a:off x="0" y="22764750"/>
          <a:ext cx="304800" cy="20546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4762</xdr:rowOff>
    </xdr:to>
    <xdr:sp macro="" textlink="">
      <xdr:nvSpPr>
        <xdr:cNvPr id="67" name="AutoShape 86" descr="+">
          <a:extLst>
            <a:ext uri="{FF2B5EF4-FFF2-40B4-BE49-F238E27FC236}">
              <a16:creationId xmlns:a16="http://schemas.microsoft.com/office/drawing/2014/main" id="{00000000-0008-0000-0B00-000043000000}"/>
            </a:ext>
          </a:extLst>
        </xdr:cNvPr>
        <xdr:cNvSpPr>
          <a:spLocks noChangeAspect="1" noChangeArrowheads="1"/>
        </xdr:cNvSpPr>
      </xdr:nvSpPr>
      <xdr:spPr bwMode="auto">
        <a:xfrm>
          <a:off x="0" y="22955250"/>
          <a:ext cx="304800" cy="16668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43543</xdr:rowOff>
    </xdr:to>
    <xdr:sp macro="" textlink="">
      <xdr:nvSpPr>
        <xdr:cNvPr id="68" name="AutoShape 87" descr="+">
          <a:extLst>
            <a:ext uri="{FF2B5EF4-FFF2-40B4-BE49-F238E27FC236}">
              <a16:creationId xmlns:a16="http://schemas.microsoft.com/office/drawing/2014/main" id="{00000000-0008-0000-0B00-000044000000}"/>
            </a:ext>
          </a:extLst>
        </xdr:cNvPr>
        <xdr:cNvSpPr>
          <a:spLocks noChangeAspect="1" noChangeArrowheads="1"/>
        </xdr:cNvSpPr>
      </xdr:nvSpPr>
      <xdr:spPr bwMode="auto">
        <a:xfrm>
          <a:off x="0" y="23145750"/>
          <a:ext cx="304800" cy="20546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43543</xdr:rowOff>
    </xdr:to>
    <xdr:sp macro="" textlink="">
      <xdr:nvSpPr>
        <xdr:cNvPr id="69" name="AutoShape 88" descr="+">
          <a:extLst>
            <a:ext uri="{FF2B5EF4-FFF2-40B4-BE49-F238E27FC236}">
              <a16:creationId xmlns:a16="http://schemas.microsoft.com/office/drawing/2014/main" id="{00000000-0008-0000-0B00-000045000000}"/>
            </a:ext>
          </a:extLst>
        </xdr:cNvPr>
        <xdr:cNvSpPr>
          <a:spLocks noChangeAspect="1" noChangeArrowheads="1"/>
        </xdr:cNvSpPr>
      </xdr:nvSpPr>
      <xdr:spPr bwMode="auto">
        <a:xfrm>
          <a:off x="0" y="23336250"/>
          <a:ext cx="304800" cy="20546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43544</xdr:rowOff>
    </xdr:to>
    <xdr:sp macro="" textlink="">
      <xdr:nvSpPr>
        <xdr:cNvPr id="70" name="AutoShape 89" descr="+">
          <a:extLst>
            <a:ext uri="{FF2B5EF4-FFF2-40B4-BE49-F238E27FC236}">
              <a16:creationId xmlns:a16="http://schemas.microsoft.com/office/drawing/2014/main" id="{00000000-0008-0000-0B00-000046000000}"/>
            </a:ext>
          </a:extLst>
        </xdr:cNvPr>
        <xdr:cNvSpPr>
          <a:spLocks noChangeAspect="1" noChangeArrowheads="1"/>
        </xdr:cNvSpPr>
      </xdr:nvSpPr>
      <xdr:spPr bwMode="auto">
        <a:xfrm>
          <a:off x="0" y="23526750"/>
          <a:ext cx="304800" cy="20546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43541</xdr:rowOff>
    </xdr:to>
    <xdr:sp macro="" textlink="">
      <xdr:nvSpPr>
        <xdr:cNvPr id="71" name="AutoShape 90" descr="+">
          <a:extLst>
            <a:ext uri="{FF2B5EF4-FFF2-40B4-BE49-F238E27FC236}">
              <a16:creationId xmlns:a16="http://schemas.microsoft.com/office/drawing/2014/main" id="{00000000-0008-0000-0B00-000047000000}"/>
            </a:ext>
          </a:extLst>
        </xdr:cNvPr>
        <xdr:cNvSpPr>
          <a:spLocks noChangeAspect="1" noChangeArrowheads="1"/>
        </xdr:cNvSpPr>
      </xdr:nvSpPr>
      <xdr:spPr bwMode="auto">
        <a:xfrm>
          <a:off x="0" y="23717250"/>
          <a:ext cx="304800" cy="20546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145118</xdr:rowOff>
    </xdr:to>
    <xdr:sp macro="" textlink="">
      <xdr:nvSpPr>
        <xdr:cNvPr id="72" name="AutoShape 91" descr="+">
          <a:extLst>
            <a:ext uri="{FF2B5EF4-FFF2-40B4-BE49-F238E27FC236}">
              <a16:creationId xmlns:a16="http://schemas.microsoft.com/office/drawing/2014/main" id="{00000000-0008-0000-0B00-000048000000}"/>
            </a:ext>
          </a:extLst>
        </xdr:cNvPr>
        <xdr:cNvSpPr>
          <a:spLocks noChangeAspect="1" noChangeArrowheads="1"/>
        </xdr:cNvSpPr>
      </xdr:nvSpPr>
      <xdr:spPr bwMode="auto">
        <a:xfrm>
          <a:off x="0" y="23907750"/>
          <a:ext cx="304800" cy="30704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9524</xdr:rowOff>
    </xdr:to>
    <xdr:sp macro="" textlink="">
      <xdr:nvSpPr>
        <xdr:cNvPr id="73" name="AutoShape 92" descr="+">
          <a:extLst>
            <a:ext uri="{FF2B5EF4-FFF2-40B4-BE49-F238E27FC236}">
              <a16:creationId xmlns:a16="http://schemas.microsoft.com/office/drawing/2014/main" id="{00000000-0008-0000-0B00-000049000000}"/>
            </a:ext>
          </a:extLst>
        </xdr:cNvPr>
        <xdr:cNvSpPr>
          <a:spLocks noChangeAspect="1" noChangeArrowheads="1"/>
        </xdr:cNvSpPr>
      </xdr:nvSpPr>
      <xdr:spPr bwMode="auto">
        <a:xfrm>
          <a:off x="0" y="24098250"/>
          <a:ext cx="304800" cy="17144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43544</xdr:rowOff>
    </xdr:to>
    <xdr:sp macro="" textlink="">
      <xdr:nvSpPr>
        <xdr:cNvPr id="74" name="AutoShape 93" descr="+">
          <a:extLst>
            <a:ext uri="{FF2B5EF4-FFF2-40B4-BE49-F238E27FC236}">
              <a16:creationId xmlns:a16="http://schemas.microsoft.com/office/drawing/2014/main" id="{00000000-0008-0000-0B00-00004A000000}"/>
            </a:ext>
          </a:extLst>
        </xdr:cNvPr>
        <xdr:cNvSpPr>
          <a:spLocks noChangeAspect="1" noChangeArrowheads="1"/>
        </xdr:cNvSpPr>
      </xdr:nvSpPr>
      <xdr:spPr bwMode="auto">
        <a:xfrm>
          <a:off x="0" y="24288750"/>
          <a:ext cx="304800" cy="20546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43544</xdr:rowOff>
    </xdr:to>
    <xdr:sp macro="" textlink="">
      <xdr:nvSpPr>
        <xdr:cNvPr id="75" name="AutoShape 94" descr="+">
          <a:extLst>
            <a:ext uri="{FF2B5EF4-FFF2-40B4-BE49-F238E27FC236}">
              <a16:creationId xmlns:a16="http://schemas.microsoft.com/office/drawing/2014/main" id="{00000000-0008-0000-0B00-00004B000000}"/>
            </a:ext>
          </a:extLst>
        </xdr:cNvPr>
        <xdr:cNvSpPr>
          <a:spLocks noChangeAspect="1" noChangeArrowheads="1"/>
        </xdr:cNvSpPr>
      </xdr:nvSpPr>
      <xdr:spPr bwMode="auto">
        <a:xfrm>
          <a:off x="0" y="24479250"/>
          <a:ext cx="304800" cy="20546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38782</xdr:rowOff>
    </xdr:to>
    <xdr:sp macro="" textlink="">
      <xdr:nvSpPr>
        <xdr:cNvPr id="76" name="AutoShape 95" descr="+">
          <a:extLst>
            <a:ext uri="{FF2B5EF4-FFF2-40B4-BE49-F238E27FC236}">
              <a16:creationId xmlns:a16="http://schemas.microsoft.com/office/drawing/2014/main" id="{00000000-0008-0000-0B00-00004C000000}"/>
            </a:ext>
          </a:extLst>
        </xdr:cNvPr>
        <xdr:cNvSpPr>
          <a:spLocks noChangeAspect="1" noChangeArrowheads="1"/>
        </xdr:cNvSpPr>
      </xdr:nvSpPr>
      <xdr:spPr bwMode="auto">
        <a:xfrm>
          <a:off x="0" y="24669750"/>
          <a:ext cx="304800" cy="2007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9804</xdr:rowOff>
    </xdr:to>
    <xdr:sp macro="" textlink="">
      <xdr:nvSpPr>
        <xdr:cNvPr id="77" name="AutoShape 96" descr="+">
          <a:extLst>
            <a:ext uri="{FF2B5EF4-FFF2-40B4-BE49-F238E27FC236}">
              <a16:creationId xmlns:a16="http://schemas.microsoft.com/office/drawing/2014/main" id="{00000000-0008-0000-0B00-00004D000000}"/>
            </a:ext>
          </a:extLst>
        </xdr:cNvPr>
        <xdr:cNvSpPr>
          <a:spLocks noChangeAspect="1" noChangeArrowheads="1"/>
        </xdr:cNvSpPr>
      </xdr:nvSpPr>
      <xdr:spPr bwMode="auto">
        <a:xfrm>
          <a:off x="0" y="25155525"/>
          <a:ext cx="304800" cy="17172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9805</xdr:rowOff>
    </xdr:to>
    <xdr:sp macro="" textlink="">
      <xdr:nvSpPr>
        <xdr:cNvPr id="78" name="AutoShape 97" descr="+">
          <a:extLst>
            <a:ext uri="{FF2B5EF4-FFF2-40B4-BE49-F238E27FC236}">
              <a16:creationId xmlns:a16="http://schemas.microsoft.com/office/drawing/2014/main" id="{00000000-0008-0000-0B00-00004E000000}"/>
            </a:ext>
          </a:extLst>
        </xdr:cNvPr>
        <xdr:cNvSpPr>
          <a:spLocks noChangeAspect="1" noChangeArrowheads="1"/>
        </xdr:cNvSpPr>
      </xdr:nvSpPr>
      <xdr:spPr bwMode="auto">
        <a:xfrm>
          <a:off x="0" y="25155525"/>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14566</xdr:rowOff>
    </xdr:to>
    <xdr:sp macro="" textlink="">
      <xdr:nvSpPr>
        <xdr:cNvPr id="79" name="AutoShape 98" descr="+">
          <a:extLst>
            <a:ext uri="{FF2B5EF4-FFF2-40B4-BE49-F238E27FC236}">
              <a16:creationId xmlns:a16="http://schemas.microsoft.com/office/drawing/2014/main" id="{00000000-0008-0000-0B00-00004F000000}"/>
            </a:ext>
          </a:extLst>
        </xdr:cNvPr>
        <xdr:cNvSpPr>
          <a:spLocks noChangeAspect="1" noChangeArrowheads="1"/>
        </xdr:cNvSpPr>
      </xdr:nvSpPr>
      <xdr:spPr bwMode="auto">
        <a:xfrm>
          <a:off x="0" y="25155525"/>
          <a:ext cx="304800" cy="17649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48587</xdr:rowOff>
    </xdr:to>
    <xdr:sp macro="" textlink="">
      <xdr:nvSpPr>
        <xdr:cNvPr id="80" name="AutoShape 99" descr="+">
          <a:extLst>
            <a:ext uri="{FF2B5EF4-FFF2-40B4-BE49-F238E27FC236}">
              <a16:creationId xmlns:a16="http://schemas.microsoft.com/office/drawing/2014/main" id="{00000000-0008-0000-0B00-000050000000}"/>
            </a:ext>
          </a:extLst>
        </xdr:cNvPr>
        <xdr:cNvSpPr>
          <a:spLocks noChangeAspect="1" noChangeArrowheads="1"/>
        </xdr:cNvSpPr>
      </xdr:nvSpPr>
      <xdr:spPr bwMode="auto">
        <a:xfrm>
          <a:off x="0" y="25155525"/>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20010</xdr:rowOff>
    </xdr:to>
    <xdr:sp macro="" textlink="">
      <xdr:nvSpPr>
        <xdr:cNvPr id="81" name="AutoShape 100" descr="+">
          <a:extLst>
            <a:ext uri="{FF2B5EF4-FFF2-40B4-BE49-F238E27FC236}">
              <a16:creationId xmlns:a16="http://schemas.microsoft.com/office/drawing/2014/main" id="{00000000-0008-0000-0B00-000051000000}"/>
            </a:ext>
          </a:extLst>
        </xdr:cNvPr>
        <xdr:cNvSpPr>
          <a:spLocks noChangeAspect="1" noChangeArrowheads="1"/>
        </xdr:cNvSpPr>
      </xdr:nvSpPr>
      <xdr:spPr bwMode="auto">
        <a:xfrm>
          <a:off x="0" y="25155525"/>
          <a:ext cx="304800" cy="18193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48585</xdr:rowOff>
    </xdr:to>
    <xdr:sp macro="" textlink="">
      <xdr:nvSpPr>
        <xdr:cNvPr id="82" name="AutoShape 101" descr="+">
          <a:extLst>
            <a:ext uri="{FF2B5EF4-FFF2-40B4-BE49-F238E27FC236}">
              <a16:creationId xmlns:a16="http://schemas.microsoft.com/office/drawing/2014/main" id="{00000000-0008-0000-0B00-000052000000}"/>
            </a:ext>
          </a:extLst>
        </xdr:cNvPr>
        <xdr:cNvSpPr>
          <a:spLocks noChangeAspect="1" noChangeArrowheads="1"/>
        </xdr:cNvSpPr>
      </xdr:nvSpPr>
      <xdr:spPr bwMode="auto">
        <a:xfrm>
          <a:off x="0" y="2515552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48583</xdr:rowOff>
    </xdr:to>
    <xdr:sp macro="" textlink="">
      <xdr:nvSpPr>
        <xdr:cNvPr id="83" name="AutoShape 102" descr="+">
          <a:extLst>
            <a:ext uri="{FF2B5EF4-FFF2-40B4-BE49-F238E27FC236}">
              <a16:creationId xmlns:a16="http://schemas.microsoft.com/office/drawing/2014/main" id="{00000000-0008-0000-0B00-000053000000}"/>
            </a:ext>
          </a:extLst>
        </xdr:cNvPr>
        <xdr:cNvSpPr>
          <a:spLocks noChangeAspect="1" noChangeArrowheads="1"/>
        </xdr:cNvSpPr>
      </xdr:nvSpPr>
      <xdr:spPr bwMode="auto">
        <a:xfrm>
          <a:off x="0" y="25155525"/>
          <a:ext cx="304800" cy="2105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48587</xdr:rowOff>
    </xdr:to>
    <xdr:sp macro="" textlink="">
      <xdr:nvSpPr>
        <xdr:cNvPr id="84" name="AutoShape 103" descr="+">
          <a:extLst>
            <a:ext uri="{FF2B5EF4-FFF2-40B4-BE49-F238E27FC236}">
              <a16:creationId xmlns:a16="http://schemas.microsoft.com/office/drawing/2014/main" id="{00000000-0008-0000-0B00-000054000000}"/>
            </a:ext>
          </a:extLst>
        </xdr:cNvPr>
        <xdr:cNvSpPr>
          <a:spLocks noChangeAspect="1" noChangeArrowheads="1"/>
        </xdr:cNvSpPr>
      </xdr:nvSpPr>
      <xdr:spPr bwMode="auto">
        <a:xfrm>
          <a:off x="0" y="25155525"/>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48583</xdr:rowOff>
    </xdr:to>
    <xdr:sp macro="" textlink="">
      <xdr:nvSpPr>
        <xdr:cNvPr id="85" name="AutoShape 104" descr="+">
          <a:extLst>
            <a:ext uri="{FF2B5EF4-FFF2-40B4-BE49-F238E27FC236}">
              <a16:creationId xmlns:a16="http://schemas.microsoft.com/office/drawing/2014/main" id="{00000000-0008-0000-0B00-000055000000}"/>
            </a:ext>
          </a:extLst>
        </xdr:cNvPr>
        <xdr:cNvSpPr>
          <a:spLocks noChangeAspect="1" noChangeArrowheads="1"/>
        </xdr:cNvSpPr>
      </xdr:nvSpPr>
      <xdr:spPr bwMode="auto">
        <a:xfrm>
          <a:off x="0" y="25155525"/>
          <a:ext cx="304800" cy="2105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10207</xdr:rowOff>
    </xdr:to>
    <xdr:sp macro="" textlink="">
      <xdr:nvSpPr>
        <xdr:cNvPr id="86" name="AutoShape 105" descr="+">
          <a:extLst>
            <a:ext uri="{FF2B5EF4-FFF2-40B4-BE49-F238E27FC236}">
              <a16:creationId xmlns:a16="http://schemas.microsoft.com/office/drawing/2014/main" id="{00000000-0008-0000-0B00-000056000000}"/>
            </a:ext>
          </a:extLst>
        </xdr:cNvPr>
        <xdr:cNvSpPr>
          <a:spLocks noChangeAspect="1" noChangeArrowheads="1"/>
        </xdr:cNvSpPr>
      </xdr:nvSpPr>
      <xdr:spPr bwMode="auto">
        <a:xfrm>
          <a:off x="0" y="25155525"/>
          <a:ext cx="304800" cy="17213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38779</xdr:rowOff>
    </xdr:to>
    <xdr:sp macro="" textlink="">
      <xdr:nvSpPr>
        <xdr:cNvPr id="87" name="AutoShape 106" descr="+">
          <a:extLst>
            <a:ext uri="{FF2B5EF4-FFF2-40B4-BE49-F238E27FC236}">
              <a16:creationId xmlns:a16="http://schemas.microsoft.com/office/drawing/2014/main" id="{00000000-0008-0000-0B00-000057000000}"/>
            </a:ext>
          </a:extLst>
        </xdr:cNvPr>
        <xdr:cNvSpPr>
          <a:spLocks noChangeAspect="1" noChangeArrowheads="1"/>
        </xdr:cNvSpPr>
      </xdr:nvSpPr>
      <xdr:spPr bwMode="auto">
        <a:xfrm>
          <a:off x="0" y="25155525"/>
          <a:ext cx="304800" cy="20070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42184</xdr:rowOff>
    </xdr:to>
    <xdr:sp macro="" textlink="">
      <xdr:nvSpPr>
        <xdr:cNvPr id="88" name="AutoShape 107" descr="+">
          <a:extLst>
            <a:ext uri="{FF2B5EF4-FFF2-40B4-BE49-F238E27FC236}">
              <a16:creationId xmlns:a16="http://schemas.microsoft.com/office/drawing/2014/main" id="{00000000-0008-0000-0B00-000058000000}"/>
            </a:ext>
          </a:extLst>
        </xdr:cNvPr>
        <xdr:cNvSpPr>
          <a:spLocks noChangeAspect="1" noChangeArrowheads="1"/>
        </xdr:cNvSpPr>
      </xdr:nvSpPr>
      <xdr:spPr bwMode="auto">
        <a:xfrm>
          <a:off x="0" y="25155525"/>
          <a:ext cx="304800" cy="2041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9804</xdr:rowOff>
    </xdr:to>
    <xdr:sp macro="" textlink="">
      <xdr:nvSpPr>
        <xdr:cNvPr id="89" name="AutoShape 108" descr="+">
          <a:extLst>
            <a:ext uri="{FF2B5EF4-FFF2-40B4-BE49-F238E27FC236}">
              <a16:creationId xmlns:a16="http://schemas.microsoft.com/office/drawing/2014/main" id="{00000000-0008-0000-0B00-000059000000}"/>
            </a:ext>
          </a:extLst>
        </xdr:cNvPr>
        <xdr:cNvSpPr>
          <a:spLocks noChangeAspect="1" noChangeArrowheads="1"/>
        </xdr:cNvSpPr>
      </xdr:nvSpPr>
      <xdr:spPr bwMode="auto">
        <a:xfrm>
          <a:off x="0" y="25155525"/>
          <a:ext cx="304800" cy="17172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20012</xdr:rowOff>
    </xdr:to>
    <xdr:sp macro="" textlink="">
      <xdr:nvSpPr>
        <xdr:cNvPr id="90" name="AutoShape 109" descr="+">
          <a:extLst>
            <a:ext uri="{FF2B5EF4-FFF2-40B4-BE49-F238E27FC236}">
              <a16:creationId xmlns:a16="http://schemas.microsoft.com/office/drawing/2014/main" id="{00000000-0008-0000-0B00-00005A000000}"/>
            </a:ext>
          </a:extLst>
        </xdr:cNvPr>
        <xdr:cNvSpPr>
          <a:spLocks noChangeAspect="1" noChangeArrowheads="1"/>
        </xdr:cNvSpPr>
      </xdr:nvSpPr>
      <xdr:spPr bwMode="auto">
        <a:xfrm>
          <a:off x="0" y="25155525"/>
          <a:ext cx="304800" cy="1819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9804</xdr:rowOff>
    </xdr:to>
    <xdr:sp macro="" textlink="">
      <xdr:nvSpPr>
        <xdr:cNvPr id="91" name="AutoShape 110" descr="+">
          <a:extLst>
            <a:ext uri="{FF2B5EF4-FFF2-40B4-BE49-F238E27FC236}">
              <a16:creationId xmlns:a16="http://schemas.microsoft.com/office/drawing/2014/main" id="{00000000-0008-0000-0B00-00005B000000}"/>
            </a:ext>
          </a:extLst>
        </xdr:cNvPr>
        <xdr:cNvSpPr>
          <a:spLocks noChangeAspect="1" noChangeArrowheads="1"/>
        </xdr:cNvSpPr>
      </xdr:nvSpPr>
      <xdr:spPr bwMode="auto">
        <a:xfrm>
          <a:off x="0" y="25155525"/>
          <a:ext cx="304800" cy="17172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48585</xdr:rowOff>
    </xdr:to>
    <xdr:sp macro="" textlink="">
      <xdr:nvSpPr>
        <xdr:cNvPr id="92" name="AutoShape 111" descr="+">
          <a:extLst>
            <a:ext uri="{FF2B5EF4-FFF2-40B4-BE49-F238E27FC236}">
              <a16:creationId xmlns:a16="http://schemas.microsoft.com/office/drawing/2014/main" id="{00000000-0008-0000-0B00-00005C000000}"/>
            </a:ext>
          </a:extLst>
        </xdr:cNvPr>
        <xdr:cNvSpPr>
          <a:spLocks noChangeAspect="1" noChangeArrowheads="1"/>
        </xdr:cNvSpPr>
      </xdr:nvSpPr>
      <xdr:spPr bwMode="auto">
        <a:xfrm>
          <a:off x="0" y="2515552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48586</xdr:rowOff>
    </xdr:to>
    <xdr:sp macro="" textlink="">
      <xdr:nvSpPr>
        <xdr:cNvPr id="93" name="AutoShape 112" descr="+">
          <a:extLst>
            <a:ext uri="{FF2B5EF4-FFF2-40B4-BE49-F238E27FC236}">
              <a16:creationId xmlns:a16="http://schemas.microsoft.com/office/drawing/2014/main" id="{00000000-0008-0000-0B00-00005D000000}"/>
            </a:ext>
          </a:extLst>
        </xdr:cNvPr>
        <xdr:cNvSpPr>
          <a:spLocks noChangeAspect="1" noChangeArrowheads="1"/>
        </xdr:cNvSpPr>
      </xdr:nvSpPr>
      <xdr:spPr bwMode="auto">
        <a:xfrm>
          <a:off x="0" y="2515552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29532</xdr:rowOff>
    </xdr:to>
    <xdr:sp macro="" textlink="">
      <xdr:nvSpPr>
        <xdr:cNvPr id="94" name="AutoShape 113" descr="+">
          <a:extLst>
            <a:ext uri="{FF2B5EF4-FFF2-40B4-BE49-F238E27FC236}">
              <a16:creationId xmlns:a16="http://schemas.microsoft.com/office/drawing/2014/main" id="{00000000-0008-0000-0B00-00005E000000}"/>
            </a:ext>
          </a:extLst>
        </xdr:cNvPr>
        <xdr:cNvSpPr>
          <a:spLocks noChangeAspect="1" noChangeArrowheads="1"/>
        </xdr:cNvSpPr>
      </xdr:nvSpPr>
      <xdr:spPr bwMode="auto">
        <a:xfrm>
          <a:off x="0" y="25155525"/>
          <a:ext cx="304800" cy="1914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48585</xdr:rowOff>
    </xdr:to>
    <xdr:sp macro="" textlink="">
      <xdr:nvSpPr>
        <xdr:cNvPr id="95" name="AutoShape 114" descr="+">
          <a:extLst>
            <a:ext uri="{FF2B5EF4-FFF2-40B4-BE49-F238E27FC236}">
              <a16:creationId xmlns:a16="http://schemas.microsoft.com/office/drawing/2014/main" id="{00000000-0008-0000-0B00-00005F000000}"/>
            </a:ext>
          </a:extLst>
        </xdr:cNvPr>
        <xdr:cNvSpPr>
          <a:spLocks noChangeAspect="1" noChangeArrowheads="1"/>
        </xdr:cNvSpPr>
      </xdr:nvSpPr>
      <xdr:spPr bwMode="auto">
        <a:xfrm>
          <a:off x="0" y="2515552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48586</xdr:rowOff>
    </xdr:to>
    <xdr:sp macro="" textlink="">
      <xdr:nvSpPr>
        <xdr:cNvPr id="96" name="AutoShape 115" descr="+">
          <a:extLst>
            <a:ext uri="{FF2B5EF4-FFF2-40B4-BE49-F238E27FC236}">
              <a16:creationId xmlns:a16="http://schemas.microsoft.com/office/drawing/2014/main" id="{00000000-0008-0000-0B00-000060000000}"/>
            </a:ext>
          </a:extLst>
        </xdr:cNvPr>
        <xdr:cNvSpPr>
          <a:spLocks noChangeAspect="1" noChangeArrowheads="1"/>
        </xdr:cNvSpPr>
      </xdr:nvSpPr>
      <xdr:spPr bwMode="auto">
        <a:xfrm>
          <a:off x="0" y="2515552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48586</xdr:rowOff>
    </xdr:to>
    <xdr:sp macro="" textlink="">
      <xdr:nvSpPr>
        <xdr:cNvPr id="97" name="AutoShape 116" descr="+">
          <a:extLst>
            <a:ext uri="{FF2B5EF4-FFF2-40B4-BE49-F238E27FC236}">
              <a16:creationId xmlns:a16="http://schemas.microsoft.com/office/drawing/2014/main" id="{00000000-0008-0000-0B00-000061000000}"/>
            </a:ext>
          </a:extLst>
        </xdr:cNvPr>
        <xdr:cNvSpPr>
          <a:spLocks noChangeAspect="1" noChangeArrowheads="1"/>
        </xdr:cNvSpPr>
      </xdr:nvSpPr>
      <xdr:spPr bwMode="auto">
        <a:xfrm>
          <a:off x="0" y="2515552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48585</xdr:rowOff>
    </xdr:to>
    <xdr:sp macro="" textlink="">
      <xdr:nvSpPr>
        <xdr:cNvPr id="98" name="AutoShape 117" descr="+">
          <a:extLst>
            <a:ext uri="{FF2B5EF4-FFF2-40B4-BE49-F238E27FC236}">
              <a16:creationId xmlns:a16="http://schemas.microsoft.com/office/drawing/2014/main" id="{00000000-0008-0000-0B00-000062000000}"/>
            </a:ext>
          </a:extLst>
        </xdr:cNvPr>
        <xdr:cNvSpPr>
          <a:spLocks noChangeAspect="1" noChangeArrowheads="1"/>
        </xdr:cNvSpPr>
      </xdr:nvSpPr>
      <xdr:spPr bwMode="auto">
        <a:xfrm>
          <a:off x="0" y="2515552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48585</xdr:rowOff>
    </xdr:to>
    <xdr:sp macro="" textlink="">
      <xdr:nvSpPr>
        <xdr:cNvPr id="99" name="AutoShape 118" descr="+">
          <a:extLst>
            <a:ext uri="{FF2B5EF4-FFF2-40B4-BE49-F238E27FC236}">
              <a16:creationId xmlns:a16="http://schemas.microsoft.com/office/drawing/2014/main" id="{00000000-0008-0000-0B00-000063000000}"/>
            </a:ext>
          </a:extLst>
        </xdr:cNvPr>
        <xdr:cNvSpPr>
          <a:spLocks noChangeAspect="1" noChangeArrowheads="1"/>
        </xdr:cNvSpPr>
      </xdr:nvSpPr>
      <xdr:spPr bwMode="auto">
        <a:xfrm>
          <a:off x="0" y="2515552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48583</xdr:rowOff>
    </xdr:to>
    <xdr:sp macro="" textlink="">
      <xdr:nvSpPr>
        <xdr:cNvPr id="100" name="AutoShape 119" descr="+">
          <a:extLst>
            <a:ext uri="{FF2B5EF4-FFF2-40B4-BE49-F238E27FC236}">
              <a16:creationId xmlns:a16="http://schemas.microsoft.com/office/drawing/2014/main" id="{00000000-0008-0000-0B00-000064000000}"/>
            </a:ext>
          </a:extLst>
        </xdr:cNvPr>
        <xdr:cNvSpPr>
          <a:spLocks noChangeAspect="1" noChangeArrowheads="1"/>
        </xdr:cNvSpPr>
      </xdr:nvSpPr>
      <xdr:spPr bwMode="auto">
        <a:xfrm>
          <a:off x="0" y="25155525"/>
          <a:ext cx="304800" cy="2105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9805</xdr:rowOff>
    </xdr:to>
    <xdr:sp macro="" textlink="">
      <xdr:nvSpPr>
        <xdr:cNvPr id="101" name="AutoShape 120" descr="+">
          <a:extLst>
            <a:ext uri="{FF2B5EF4-FFF2-40B4-BE49-F238E27FC236}">
              <a16:creationId xmlns:a16="http://schemas.microsoft.com/office/drawing/2014/main" id="{00000000-0008-0000-0B00-000065000000}"/>
            </a:ext>
          </a:extLst>
        </xdr:cNvPr>
        <xdr:cNvSpPr>
          <a:spLocks noChangeAspect="1" noChangeArrowheads="1"/>
        </xdr:cNvSpPr>
      </xdr:nvSpPr>
      <xdr:spPr bwMode="auto">
        <a:xfrm>
          <a:off x="0" y="25155525"/>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9804</xdr:rowOff>
    </xdr:to>
    <xdr:sp macro="" textlink="">
      <xdr:nvSpPr>
        <xdr:cNvPr id="102" name="AutoShape 121" descr="+">
          <a:extLst>
            <a:ext uri="{FF2B5EF4-FFF2-40B4-BE49-F238E27FC236}">
              <a16:creationId xmlns:a16="http://schemas.microsoft.com/office/drawing/2014/main" id="{00000000-0008-0000-0B00-000066000000}"/>
            </a:ext>
          </a:extLst>
        </xdr:cNvPr>
        <xdr:cNvSpPr>
          <a:spLocks noChangeAspect="1" noChangeArrowheads="1"/>
        </xdr:cNvSpPr>
      </xdr:nvSpPr>
      <xdr:spPr bwMode="auto">
        <a:xfrm>
          <a:off x="0" y="25155525"/>
          <a:ext cx="304800" cy="17172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20012</xdr:rowOff>
    </xdr:to>
    <xdr:sp macro="" textlink="">
      <xdr:nvSpPr>
        <xdr:cNvPr id="103" name="AutoShape 122" descr="+">
          <a:extLst>
            <a:ext uri="{FF2B5EF4-FFF2-40B4-BE49-F238E27FC236}">
              <a16:creationId xmlns:a16="http://schemas.microsoft.com/office/drawing/2014/main" id="{00000000-0008-0000-0B00-000067000000}"/>
            </a:ext>
          </a:extLst>
        </xdr:cNvPr>
        <xdr:cNvSpPr>
          <a:spLocks noChangeAspect="1" noChangeArrowheads="1"/>
        </xdr:cNvSpPr>
      </xdr:nvSpPr>
      <xdr:spPr bwMode="auto">
        <a:xfrm>
          <a:off x="0" y="25155525"/>
          <a:ext cx="304800" cy="1819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14566</xdr:rowOff>
    </xdr:to>
    <xdr:sp macro="" textlink="">
      <xdr:nvSpPr>
        <xdr:cNvPr id="104" name="AutoShape 123" descr="+">
          <a:extLst>
            <a:ext uri="{FF2B5EF4-FFF2-40B4-BE49-F238E27FC236}">
              <a16:creationId xmlns:a16="http://schemas.microsoft.com/office/drawing/2014/main" id="{00000000-0008-0000-0B00-000068000000}"/>
            </a:ext>
          </a:extLst>
        </xdr:cNvPr>
        <xdr:cNvSpPr>
          <a:spLocks noChangeAspect="1" noChangeArrowheads="1"/>
        </xdr:cNvSpPr>
      </xdr:nvSpPr>
      <xdr:spPr bwMode="auto">
        <a:xfrm>
          <a:off x="0" y="25155525"/>
          <a:ext cx="304800" cy="17649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48586</xdr:rowOff>
    </xdr:to>
    <xdr:sp macro="" textlink="">
      <xdr:nvSpPr>
        <xdr:cNvPr id="105" name="AutoShape 124" descr="+">
          <a:extLst>
            <a:ext uri="{FF2B5EF4-FFF2-40B4-BE49-F238E27FC236}">
              <a16:creationId xmlns:a16="http://schemas.microsoft.com/office/drawing/2014/main" id="{00000000-0008-0000-0B00-000069000000}"/>
            </a:ext>
          </a:extLst>
        </xdr:cNvPr>
        <xdr:cNvSpPr>
          <a:spLocks noChangeAspect="1" noChangeArrowheads="1"/>
        </xdr:cNvSpPr>
      </xdr:nvSpPr>
      <xdr:spPr bwMode="auto">
        <a:xfrm>
          <a:off x="0" y="2515552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48584</xdr:rowOff>
    </xdr:to>
    <xdr:sp macro="" textlink="">
      <xdr:nvSpPr>
        <xdr:cNvPr id="106" name="AutoShape 125" descr="+">
          <a:extLst>
            <a:ext uri="{FF2B5EF4-FFF2-40B4-BE49-F238E27FC236}">
              <a16:creationId xmlns:a16="http://schemas.microsoft.com/office/drawing/2014/main" id="{00000000-0008-0000-0B00-00006A000000}"/>
            </a:ext>
          </a:extLst>
        </xdr:cNvPr>
        <xdr:cNvSpPr>
          <a:spLocks noChangeAspect="1" noChangeArrowheads="1"/>
        </xdr:cNvSpPr>
      </xdr:nvSpPr>
      <xdr:spPr bwMode="auto">
        <a:xfrm>
          <a:off x="0" y="25155525"/>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48586</xdr:rowOff>
    </xdr:to>
    <xdr:sp macro="" textlink="">
      <xdr:nvSpPr>
        <xdr:cNvPr id="107" name="AutoShape 126" descr="+">
          <a:extLst>
            <a:ext uri="{FF2B5EF4-FFF2-40B4-BE49-F238E27FC236}">
              <a16:creationId xmlns:a16="http://schemas.microsoft.com/office/drawing/2014/main" id="{00000000-0008-0000-0B00-00006B000000}"/>
            </a:ext>
          </a:extLst>
        </xdr:cNvPr>
        <xdr:cNvSpPr>
          <a:spLocks noChangeAspect="1" noChangeArrowheads="1"/>
        </xdr:cNvSpPr>
      </xdr:nvSpPr>
      <xdr:spPr bwMode="auto">
        <a:xfrm>
          <a:off x="0" y="2515552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41162</xdr:rowOff>
    </xdr:to>
    <xdr:sp macro="" textlink="">
      <xdr:nvSpPr>
        <xdr:cNvPr id="108" name="AutoShape 127" descr="+">
          <a:extLst>
            <a:ext uri="{FF2B5EF4-FFF2-40B4-BE49-F238E27FC236}">
              <a16:creationId xmlns:a16="http://schemas.microsoft.com/office/drawing/2014/main" id="{00000000-0008-0000-0B00-00006C000000}"/>
            </a:ext>
          </a:extLst>
        </xdr:cNvPr>
        <xdr:cNvSpPr>
          <a:spLocks noChangeAspect="1" noChangeArrowheads="1"/>
        </xdr:cNvSpPr>
      </xdr:nvSpPr>
      <xdr:spPr bwMode="auto">
        <a:xfrm>
          <a:off x="0" y="25155525"/>
          <a:ext cx="304800" cy="20308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41163</xdr:rowOff>
    </xdr:to>
    <xdr:sp macro="" textlink="">
      <xdr:nvSpPr>
        <xdr:cNvPr id="109" name="AutoShape 128" descr="+">
          <a:extLst>
            <a:ext uri="{FF2B5EF4-FFF2-40B4-BE49-F238E27FC236}">
              <a16:creationId xmlns:a16="http://schemas.microsoft.com/office/drawing/2014/main" id="{00000000-0008-0000-0B00-00006D000000}"/>
            </a:ext>
          </a:extLst>
        </xdr:cNvPr>
        <xdr:cNvSpPr>
          <a:spLocks noChangeAspect="1" noChangeArrowheads="1"/>
        </xdr:cNvSpPr>
      </xdr:nvSpPr>
      <xdr:spPr bwMode="auto">
        <a:xfrm>
          <a:off x="0" y="25155525"/>
          <a:ext cx="304800" cy="20308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48583</xdr:rowOff>
    </xdr:to>
    <xdr:sp macro="" textlink="">
      <xdr:nvSpPr>
        <xdr:cNvPr id="110" name="AutoShape 129" descr="+">
          <a:extLst>
            <a:ext uri="{FF2B5EF4-FFF2-40B4-BE49-F238E27FC236}">
              <a16:creationId xmlns:a16="http://schemas.microsoft.com/office/drawing/2014/main" id="{00000000-0008-0000-0B00-00006E000000}"/>
            </a:ext>
          </a:extLst>
        </xdr:cNvPr>
        <xdr:cNvSpPr>
          <a:spLocks noChangeAspect="1" noChangeArrowheads="1"/>
        </xdr:cNvSpPr>
      </xdr:nvSpPr>
      <xdr:spPr bwMode="auto">
        <a:xfrm>
          <a:off x="0" y="25155525"/>
          <a:ext cx="304800" cy="2105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9804</xdr:rowOff>
    </xdr:to>
    <xdr:sp macro="" textlink="">
      <xdr:nvSpPr>
        <xdr:cNvPr id="111" name="AutoShape 130" descr="+">
          <a:extLst>
            <a:ext uri="{FF2B5EF4-FFF2-40B4-BE49-F238E27FC236}">
              <a16:creationId xmlns:a16="http://schemas.microsoft.com/office/drawing/2014/main" id="{00000000-0008-0000-0B00-00006F000000}"/>
            </a:ext>
          </a:extLst>
        </xdr:cNvPr>
        <xdr:cNvSpPr>
          <a:spLocks noChangeAspect="1" noChangeArrowheads="1"/>
        </xdr:cNvSpPr>
      </xdr:nvSpPr>
      <xdr:spPr bwMode="auto">
        <a:xfrm>
          <a:off x="0" y="25155525"/>
          <a:ext cx="304800" cy="17172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9805</xdr:rowOff>
    </xdr:to>
    <xdr:sp macro="" textlink="">
      <xdr:nvSpPr>
        <xdr:cNvPr id="112" name="AutoShape 131" descr="+">
          <a:extLst>
            <a:ext uri="{FF2B5EF4-FFF2-40B4-BE49-F238E27FC236}">
              <a16:creationId xmlns:a16="http://schemas.microsoft.com/office/drawing/2014/main" id="{00000000-0008-0000-0B00-000070000000}"/>
            </a:ext>
          </a:extLst>
        </xdr:cNvPr>
        <xdr:cNvSpPr>
          <a:spLocks noChangeAspect="1" noChangeArrowheads="1"/>
        </xdr:cNvSpPr>
      </xdr:nvSpPr>
      <xdr:spPr bwMode="auto">
        <a:xfrm>
          <a:off x="0" y="25155525"/>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48585</xdr:rowOff>
    </xdr:to>
    <xdr:sp macro="" textlink="">
      <xdr:nvSpPr>
        <xdr:cNvPr id="113" name="AutoShape 132" descr="+">
          <a:extLst>
            <a:ext uri="{FF2B5EF4-FFF2-40B4-BE49-F238E27FC236}">
              <a16:creationId xmlns:a16="http://schemas.microsoft.com/office/drawing/2014/main" id="{00000000-0008-0000-0B00-000071000000}"/>
            </a:ext>
          </a:extLst>
        </xdr:cNvPr>
        <xdr:cNvSpPr>
          <a:spLocks noChangeAspect="1" noChangeArrowheads="1"/>
        </xdr:cNvSpPr>
      </xdr:nvSpPr>
      <xdr:spPr bwMode="auto">
        <a:xfrm>
          <a:off x="0" y="2515552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48585</xdr:rowOff>
    </xdr:to>
    <xdr:sp macro="" textlink="">
      <xdr:nvSpPr>
        <xdr:cNvPr id="114" name="AutoShape 133" descr="+">
          <a:extLst>
            <a:ext uri="{FF2B5EF4-FFF2-40B4-BE49-F238E27FC236}">
              <a16:creationId xmlns:a16="http://schemas.microsoft.com/office/drawing/2014/main" id="{00000000-0008-0000-0B00-000072000000}"/>
            </a:ext>
          </a:extLst>
        </xdr:cNvPr>
        <xdr:cNvSpPr>
          <a:spLocks noChangeAspect="1" noChangeArrowheads="1"/>
        </xdr:cNvSpPr>
      </xdr:nvSpPr>
      <xdr:spPr bwMode="auto">
        <a:xfrm>
          <a:off x="0" y="2515552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48584</xdr:rowOff>
    </xdr:to>
    <xdr:sp macro="" textlink="">
      <xdr:nvSpPr>
        <xdr:cNvPr id="115" name="AutoShape 134" descr="+">
          <a:extLst>
            <a:ext uri="{FF2B5EF4-FFF2-40B4-BE49-F238E27FC236}">
              <a16:creationId xmlns:a16="http://schemas.microsoft.com/office/drawing/2014/main" id="{00000000-0008-0000-0B00-000073000000}"/>
            </a:ext>
          </a:extLst>
        </xdr:cNvPr>
        <xdr:cNvSpPr>
          <a:spLocks noChangeAspect="1" noChangeArrowheads="1"/>
        </xdr:cNvSpPr>
      </xdr:nvSpPr>
      <xdr:spPr bwMode="auto">
        <a:xfrm>
          <a:off x="0" y="25155525"/>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48585</xdr:rowOff>
    </xdr:to>
    <xdr:sp macro="" textlink="">
      <xdr:nvSpPr>
        <xdr:cNvPr id="116" name="AutoShape 135" descr="+">
          <a:extLst>
            <a:ext uri="{FF2B5EF4-FFF2-40B4-BE49-F238E27FC236}">
              <a16:creationId xmlns:a16="http://schemas.microsoft.com/office/drawing/2014/main" id="{00000000-0008-0000-0B00-000074000000}"/>
            </a:ext>
          </a:extLst>
        </xdr:cNvPr>
        <xdr:cNvSpPr>
          <a:spLocks noChangeAspect="1" noChangeArrowheads="1"/>
        </xdr:cNvSpPr>
      </xdr:nvSpPr>
      <xdr:spPr bwMode="auto">
        <a:xfrm>
          <a:off x="0" y="2515552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48585</xdr:rowOff>
    </xdr:to>
    <xdr:sp macro="" textlink="">
      <xdr:nvSpPr>
        <xdr:cNvPr id="117" name="AutoShape 136" descr="+">
          <a:extLst>
            <a:ext uri="{FF2B5EF4-FFF2-40B4-BE49-F238E27FC236}">
              <a16:creationId xmlns:a16="http://schemas.microsoft.com/office/drawing/2014/main" id="{00000000-0008-0000-0B00-000075000000}"/>
            </a:ext>
          </a:extLst>
        </xdr:cNvPr>
        <xdr:cNvSpPr>
          <a:spLocks noChangeAspect="1" noChangeArrowheads="1"/>
        </xdr:cNvSpPr>
      </xdr:nvSpPr>
      <xdr:spPr bwMode="auto">
        <a:xfrm>
          <a:off x="0" y="2515552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48586</xdr:rowOff>
    </xdr:to>
    <xdr:sp macro="" textlink="">
      <xdr:nvSpPr>
        <xdr:cNvPr id="118" name="AutoShape 137" descr="+">
          <a:extLst>
            <a:ext uri="{FF2B5EF4-FFF2-40B4-BE49-F238E27FC236}">
              <a16:creationId xmlns:a16="http://schemas.microsoft.com/office/drawing/2014/main" id="{00000000-0008-0000-0B00-000076000000}"/>
            </a:ext>
          </a:extLst>
        </xdr:cNvPr>
        <xdr:cNvSpPr>
          <a:spLocks noChangeAspect="1" noChangeArrowheads="1"/>
        </xdr:cNvSpPr>
      </xdr:nvSpPr>
      <xdr:spPr bwMode="auto">
        <a:xfrm>
          <a:off x="0" y="2515552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48585</xdr:rowOff>
    </xdr:to>
    <xdr:sp macro="" textlink="">
      <xdr:nvSpPr>
        <xdr:cNvPr id="119" name="AutoShape 138" descr="+">
          <a:extLst>
            <a:ext uri="{FF2B5EF4-FFF2-40B4-BE49-F238E27FC236}">
              <a16:creationId xmlns:a16="http://schemas.microsoft.com/office/drawing/2014/main" id="{00000000-0008-0000-0B00-000077000000}"/>
            </a:ext>
          </a:extLst>
        </xdr:cNvPr>
        <xdr:cNvSpPr>
          <a:spLocks noChangeAspect="1" noChangeArrowheads="1"/>
        </xdr:cNvSpPr>
      </xdr:nvSpPr>
      <xdr:spPr bwMode="auto">
        <a:xfrm>
          <a:off x="0" y="2515552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48583</xdr:rowOff>
    </xdr:to>
    <xdr:sp macro="" textlink="">
      <xdr:nvSpPr>
        <xdr:cNvPr id="120" name="AutoShape 139" descr="+">
          <a:extLst>
            <a:ext uri="{FF2B5EF4-FFF2-40B4-BE49-F238E27FC236}">
              <a16:creationId xmlns:a16="http://schemas.microsoft.com/office/drawing/2014/main" id="{00000000-0008-0000-0B00-000078000000}"/>
            </a:ext>
          </a:extLst>
        </xdr:cNvPr>
        <xdr:cNvSpPr>
          <a:spLocks noChangeAspect="1" noChangeArrowheads="1"/>
        </xdr:cNvSpPr>
      </xdr:nvSpPr>
      <xdr:spPr bwMode="auto">
        <a:xfrm>
          <a:off x="0" y="25155525"/>
          <a:ext cx="304800" cy="2105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9806</xdr:rowOff>
    </xdr:to>
    <xdr:sp macro="" textlink="">
      <xdr:nvSpPr>
        <xdr:cNvPr id="121" name="AutoShape 140" descr="+">
          <a:extLst>
            <a:ext uri="{FF2B5EF4-FFF2-40B4-BE49-F238E27FC236}">
              <a16:creationId xmlns:a16="http://schemas.microsoft.com/office/drawing/2014/main" id="{00000000-0008-0000-0B00-000079000000}"/>
            </a:ext>
          </a:extLst>
        </xdr:cNvPr>
        <xdr:cNvSpPr>
          <a:spLocks noChangeAspect="1" noChangeArrowheads="1"/>
        </xdr:cNvSpPr>
      </xdr:nvSpPr>
      <xdr:spPr bwMode="auto">
        <a:xfrm>
          <a:off x="0" y="25155525"/>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9804</xdr:rowOff>
    </xdr:to>
    <xdr:sp macro="" textlink="">
      <xdr:nvSpPr>
        <xdr:cNvPr id="122" name="AutoShape 141" descr="+">
          <a:extLst>
            <a:ext uri="{FF2B5EF4-FFF2-40B4-BE49-F238E27FC236}">
              <a16:creationId xmlns:a16="http://schemas.microsoft.com/office/drawing/2014/main" id="{00000000-0008-0000-0B00-00007A000000}"/>
            </a:ext>
          </a:extLst>
        </xdr:cNvPr>
        <xdr:cNvSpPr>
          <a:spLocks noChangeAspect="1" noChangeArrowheads="1"/>
        </xdr:cNvSpPr>
      </xdr:nvSpPr>
      <xdr:spPr bwMode="auto">
        <a:xfrm>
          <a:off x="0" y="25155525"/>
          <a:ext cx="304800" cy="17172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9805</xdr:rowOff>
    </xdr:to>
    <xdr:sp macro="" textlink="">
      <xdr:nvSpPr>
        <xdr:cNvPr id="123" name="AutoShape 142" descr="+">
          <a:extLst>
            <a:ext uri="{FF2B5EF4-FFF2-40B4-BE49-F238E27FC236}">
              <a16:creationId xmlns:a16="http://schemas.microsoft.com/office/drawing/2014/main" id="{00000000-0008-0000-0B00-00007B000000}"/>
            </a:ext>
          </a:extLst>
        </xdr:cNvPr>
        <xdr:cNvSpPr>
          <a:spLocks noChangeAspect="1" noChangeArrowheads="1"/>
        </xdr:cNvSpPr>
      </xdr:nvSpPr>
      <xdr:spPr bwMode="auto">
        <a:xfrm>
          <a:off x="0" y="25155525"/>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43</xdr:row>
      <xdr:rowOff>3478</xdr:rowOff>
    </xdr:to>
    <xdr:sp macro="" textlink="">
      <xdr:nvSpPr>
        <xdr:cNvPr id="124" name="AutoShape 143" descr="+">
          <a:extLst>
            <a:ext uri="{FF2B5EF4-FFF2-40B4-BE49-F238E27FC236}">
              <a16:creationId xmlns:a16="http://schemas.microsoft.com/office/drawing/2014/main" id="{00000000-0008-0000-0B00-00007C000000}"/>
            </a:ext>
          </a:extLst>
        </xdr:cNvPr>
        <xdr:cNvSpPr>
          <a:spLocks noChangeAspect="1" noChangeArrowheads="1"/>
        </xdr:cNvSpPr>
      </xdr:nvSpPr>
      <xdr:spPr bwMode="auto">
        <a:xfrm>
          <a:off x="0" y="25155525"/>
          <a:ext cx="304800" cy="32733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48584</xdr:rowOff>
    </xdr:to>
    <xdr:sp macro="" textlink="">
      <xdr:nvSpPr>
        <xdr:cNvPr id="125" name="AutoShape 144" descr="+">
          <a:extLst>
            <a:ext uri="{FF2B5EF4-FFF2-40B4-BE49-F238E27FC236}">
              <a16:creationId xmlns:a16="http://schemas.microsoft.com/office/drawing/2014/main" id="{00000000-0008-0000-0B00-00007D000000}"/>
            </a:ext>
          </a:extLst>
        </xdr:cNvPr>
        <xdr:cNvSpPr>
          <a:spLocks noChangeAspect="1" noChangeArrowheads="1"/>
        </xdr:cNvSpPr>
      </xdr:nvSpPr>
      <xdr:spPr bwMode="auto">
        <a:xfrm>
          <a:off x="0" y="25155525"/>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48585</xdr:rowOff>
    </xdr:to>
    <xdr:sp macro="" textlink="">
      <xdr:nvSpPr>
        <xdr:cNvPr id="126" name="AutoShape 145" descr="+">
          <a:extLst>
            <a:ext uri="{FF2B5EF4-FFF2-40B4-BE49-F238E27FC236}">
              <a16:creationId xmlns:a16="http://schemas.microsoft.com/office/drawing/2014/main" id="{00000000-0008-0000-0B00-00007E000000}"/>
            </a:ext>
          </a:extLst>
        </xdr:cNvPr>
        <xdr:cNvSpPr>
          <a:spLocks noChangeAspect="1" noChangeArrowheads="1"/>
        </xdr:cNvSpPr>
      </xdr:nvSpPr>
      <xdr:spPr bwMode="auto">
        <a:xfrm>
          <a:off x="0" y="2515552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48585</xdr:rowOff>
    </xdr:to>
    <xdr:sp macro="" textlink="">
      <xdr:nvSpPr>
        <xdr:cNvPr id="127" name="AutoShape 146" descr="+">
          <a:extLst>
            <a:ext uri="{FF2B5EF4-FFF2-40B4-BE49-F238E27FC236}">
              <a16:creationId xmlns:a16="http://schemas.microsoft.com/office/drawing/2014/main" id="{00000000-0008-0000-0B00-00007F000000}"/>
            </a:ext>
          </a:extLst>
        </xdr:cNvPr>
        <xdr:cNvSpPr>
          <a:spLocks noChangeAspect="1" noChangeArrowheads="1"/>
        </xdr:cNvSpPr>
      </xdr:nvSpPr>
      <xdr:spPr bwMode="auto">
        <a:xfrm>
          <a:off x="0" y="2515552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9804</xdr:rowOff>
    </xdr:to>
    <xdr:sp macro="" textlink="">
      <xdr:nvSpPr>
        <xdr:cNvPr id="128" name="AutoShape 147" descr="+">
          <a:extLst>
            <a:ext uri="{FF2B5EF4-FFF2-40B4-BE49-F238E27FC236}">
              <a16:creationId xmlns:a16="http://schemas.microsoft.com/office/drawing/2014/main" id="{00000000-0008-0000-0B00-000080000000}"/>
            </a:ext>
          </a:extLst>
        </xdr:cNvPr>
        <xdr:cNvSpPr>
          <a:spLocks noChangeAspect="1" noChangeArrowheads="1"/>
        </xdr:cNvSpPr>
      </xdr:nvSpPr>
      <xdr:spPr bwMode="auto">
        <a:xfrm>
          <a:off x="0" y="25155525"/>
          <a:ext cx="304800" cy="17172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20010</xdr:rowOff>
    </xdr:to>
    <xdr:sp macro="" textlink="">
      <xdr:nvSpPr>
        <xdr:cNvPr id="129" name="AutoShape 148" descr="+">
          <a:extLst>
            <a:ext uri="{FF2B5EF4-FFF2-40B4-BE49-F238E27FC236}">
              <a16:creationId xmlns:a16="http://schemas.microsoft.com/office/drawing/2014/main" id="{00000000-0008-0000-0B00-000081000000}"/>
            </a:ext>
          </a:extLst>
        </xdr:cNvPr>
        <xdr:cNvSpPr>
          <a:spLocks noChangeAspect="1" noChangeArrowheads="1"/>
        </xdr:cNvSpPr>
      </xdr:nvSpPr>
      <xdr:spPr bwMode="auto">
        <a:xfrm>
          <a:off x="0" y="25155525"/>
          <a:ext cx="304800" cy="18193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29534</xdr:rowOff>
    </xdr:to>
    <xdr:sp macro="" textlink="">
      <xdr:nvSpPr>
        <xdr:cNvPr id="130" name="AutoShape 149" descr="+">
          <a:extLst>
            <a:ext uri="{FF2B5EF4-FFF2-40B4-BE49-F238E27FC236}">
              <a16:creationId xmlns:a16="http://schemas.microsoft.com/office/drawing/2014/main" id="{00000000-0008-0000-0B00-000082000000}"/>
            </a:ext>
          </a:extLst>
        </xdr:cNvPr>
        <xdr:cNvSpPr>
          <a:spLocks noChangeAspect="1" noChangeArrowheads="1"/>
        </xdr:cNvSpPr>
      </xdr:nvSpPr>
      <xdr:spPr bwMode="auto">
        <a:xfrm>
          <a:off x="0" y="25155525"/>
          <a:ext cx="304800" cy="191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48584</xdr:rowOff>
    </xdr:to>
    <xdr:sp macro="" textlink="">
      <xdr:nvSpPr>
        <xdr:cNvPr id="131" name="AutoShape 150" descr="+">
          <a:extLst>
            <a:ext uri="{FF2B5EF4-FFF2-40B4-BE49-F238E27FC236}">
              <a16:creationId xmlns:a16="http://schemas.microsoft.com/office/drawing/2014/main" id="{00000000-0008-0000-0B00-000083000000}"/>
            </a:ext>
          </a:extLst>
        </xdr:cNvPr>
        <xdr:cNvSpPr>
          <a:spLocks noChangeAspect="1" noChangeArrowheads="1"/>
        </xdr:cNvSpPr>
      </xdr:nvSpPr>
      <xdr:spPr bwMode="auto">
        <a:xfrm>
          <a:off x="0" y="25155525"/>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48586</xdr:rowOff>
    </xdr:to>
    <xdr:sp macro="" textlink="">
      <xdr:nvSpPr>
        <xdr:cNvPr id="132" name="AutoShape 151" descr="+">
          <a:extLst>
            <a:ext uri="{FF2B5EF4-FFF2-40B4-BE49-F238E27FC236}">
              <a16:creationId xmlns:a16="http://schemas.microsoft.com/office/drawing/2014/main" id="{00000000-0008-0000-0B00-000084000000}"/>
            </a:ext>
          </a:extLst>
        </xdr:cNvPr>
        <xdr:cNvSpPr>
          <a:spLocks noChangeAspect="1" noChangeArrowheads="1"/>
        </xdr:cNvSpPr>
      </xdr:nvSpPr>
      <xdr:spPr bwMode="auto">
        <a:xfrm>
          <a:off x="0" y="2515552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48586</xdr:rowOff>
    </xdr:to>
    <xdr:sp macro="" textlink="">
      <xdr:nvSpPr>
        <xdr:cNvPr id="133" name="AutoShape 152" descr="+">
          <a:extLst>
            <a:ext uri="{FF2B5EF4-FFF2-40B4-BE49-F238E27FC236}">
              <a16:creationId xmlns:a16="http://schemas.microsoft.com/office/drawing/2014/main" id="{00000000-0008-0000-0B00-000085000000}"/>
            </a:ext>
          </a:extLst>
        </xdr:cNvPr>
        <xdr:cNvSpPr>
          <a:spLocks noChangeAspect="1" noChangeArrowheads="1"/>
        </xdr:cNvSpPr>
      </xdr:nvSpPr>
      <xdr:spPr bwMode="auto">
        <a:xfrm>
          <a:off x="0" y="2515552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142870</xdr:rowOff>
    </xdr:to>
    <xdr:sp macro="" textlink="">
      <xdr:nvSpPr>
        <xdr:cNvPr id="134" name="AutoShape 153" descr="+">
          <a:extLst>
            <a:ext uri="{FF2B5EF4-FFF2-40B4-BE49-F238E27FC236}">
              <a16:creationId xmlns:a16="http://schemas.microsoft.com/office/drawing/2014/main" id="{00000000-0008-0000-0B00-000086000000}"/>
            </a:ext>
          </a:extLst>
        </xdr:cNvPr>
        <xdr:cNvSpPr>
          <a:spLocks noChangeAspect="1" noChangeArrowheads="1"/>
        </xdr:cNvSpPr>
      </xdr:nvSpPr>
      <xdr:spPr bwMode="auto">
        <a:xfrm>
          <a:off x="0" y="25155525"/>
          <a:ext cx="304800" cy="3047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10484</xdr:rowOff>
    </xdr:to>
    <xdr:sp macro="" textlink="">
      <xdr:nvSpPr>
        <xdr:cNvPr id="135" name="AutoShape 154" descr="+">
          <a:extLst>
            <a:ext uri="{FF2B5EF4-FFF2-40B4-BE49-F238E27FC236}">
              <a16:creationId xmlns:a16="http://schemas.microsoft.com/office/drawing/2014/main" id="{00000000-0008-0000-0B00-000087000000}"/>
            </a:ext>
          </a:extLst>
        </xdr:cNvPr>
        <xdr:cNvSpPr>
          <a:spLocks noChangeAspect="1" noChangeArrowheads="1"/>
        </xdr:cNvSpPr>
      </xdr:nvSpPr>
      <xdr:spPr bwMode="auto">
        <a:xfrm>
          <a:off x="0" y="25155525"/>
          <a:ext cx="304800" cy="1724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48584</xdr:rowOff>
    </xdr:to>
    <xdr:sp macro="" textlink="">
      <xdr:nvSpPr>
        <xdr:cNvPr id="136" name="AutoShape 155" descr="+">
          <a:extLst>
            <a:ext uri="{FF2B5EF4-FFF2-40B4-BE49-F238E27FC236}">
              <a16:creationId xmlns:a16="http://schemas.microsoft.com/office/drawing/2014/main" id="{00000000-0008-0000-0B00-000088000000}"/>
            </a:ext>
          </a:extLst>
        </xdr:cNvPr>
        <xdr:cNvSpPr>
          <a:spLocks noChangeAspect="1" noChangeArrowheads="1"/>
        </xdr:cNvSpPr>
      </xdr:nvSpPr>
      <xdr:spPr bwMode="auto">
        <a:xfrm>
          <a:off x="0" y="25155525"/>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42184</xdr:rowOff>
    </xdr:to>
    <xdr:sp macro="" textlink="">
      <xdr:nvSpPr>
        <xdr:cNvPr id="137" name="AutoShape 156" descr="+">
          <a:extLst>
            <a:ext uri="{FF2B5EF4-FFF2-40B4-BE49-F238E27FC236}">
              <a16:creationId xmlns:a16="http://schemas.microsoft.com/office/drawing/2014/main" id="{00000000-0008-0000-0B00-000089000000}"/>
            </a:ext>
          </a:extLst>
        </xdr:cNvPr>
        <xdr:cNvSpPr>
          <a:spLocks noChangeAspect="1" noChangeArrowheads="1"/>
        </xdr:cNvSpPr>
      </xdr:nvSpPr>
      <xdr:spPr bwMode="auto">
        <a:xfrm>
          <a:off x="0" y="25155525"/>
          <a:ext cx="304800" cy="2041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42186</xdr:rowOff>
    </xdr:to>
    <xdr:sp macro="" textlink="">
      <xdr:nvSpPr>
        <xdr:cNvPr id="138" name="AutoShape 157" descr="+">
          <a:extLst>
            <a:ext uri="{FF2B5EF4-FFF2-40B4-BE49-F238E27FC236}">
              <a16:creationId xmlns:a16="http://schemas.microsoft.com/office/drawing/2014/main" id="{00000000-0008-0000-0B00-00008A000000}"/>
            </a:ext>
          </a:extLst>
        </xdr:cNvPr>
        <xdr:cNvSpPr>
          <a:spLocks noChangeAspect="1" noChangeArrowheads="1"/>
        </xdr:cNvSpPr>
      </xdr:nvSpPr>
      <xdr:spPr bwMode="auto">
        <a:xfrm>
          <a:off x="0" y="25155525"/>
          <a:ext cx="304800" cy="2041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9804</xdr:rowOff>
    </xdr:to>
    <xdr:sp macro="" textlink="">
      <xdr:nvSpPr>
        <xdr:cNvPr id="139" name="AutoShape 158" descr="+">
          <a:extLst>
            <a:ext uri="{FF2B5EF4-FFF2-40B4-BE49-F238E27FC236}">
              <a16:creationId xmlns:a16="http://schemas.microsoft.com/office/drawing/2014/main" id="{00000000-0008-0000-0B00-00008B000000}"/>
            </a:ext>
          </a:extLst>
        </xdr:cNvPr>
        <xdr:cNvSpPr>
          <a:spLocks noChangeAspect="1" noChangeArrowheads="1"/>
        </xdr:cNvSpPr>
      </xdr:nvSpPr>
      <xdr:spPr bwMode="auto">
        <a:xfrm>
          <a:off x="0" y="25155525"/>
          <a:ext cx="304800" cy="17172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9805</xdr:rowOff>
    </xdr:to>
    <xdr:sp macro="" textlink="">
      <xdr:nvSpPr>
        <xdr:cNvPr id="140" name="AutoShape 159" descr="+">
          <a:extLst>
            <a:ext uri="{FF2B5EF4-FFF2-40B4-BE49-F238E27FC236}">
              <a16:creationId xmlns:a16="http://schemas.microsoft.com/office/drawing/2014/main" id="{00000000-0008-0000-0B00-00008C000000}"/>
            </a:ext>
          </a:extLst>
        </xdr:cNvPr>
        <xdr:cNvSpPr>
          <a:spLocks noChangeAspect="1" noChangeArrowheads="1"/>
        </xdr:cNvSpPr>
      </xdr:nvSpPr>
      <xdr:spPr bwMode="auto">
        <a:xfrm>
          <a:off x="0" y="25155525"/>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24770</xdr:rowOff>
    </xdr:to>
    <xdr:sp macro="" textlink="">
      <xdr:nvSpPr>
        <xdr:cNvPr id="141" name="AutoShape 160" descr="+">
          <a:extLst>
            <a:ext uri="{FF2B5EF4-FFF2-40B4-BE49-F238E27FC236}">
              <a16:creationId xmlns:a16="http://schemas.microsoft.com/office/drawing/2014/main" id="{00000000-0008-0000-0B00-00008D000000}"/>
            </a:ext>
          </a:extLst>
        </xdr:cNvPr>
        <xdr:cNvSpPr>
          <a:spLocks noChangeAspect="1" noChangeArrowheads="1"/>
        </xdr:cNvSpPr>
      </xdr:nvSpPr>
      <xdr:spPr bwMode="auto">
        <a:xfrm>
          <a:off x="0" y="25155525"/>
          <a:ext cx="304800" cy="1866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9806</xdr:rowOff>
    </xdr:to>
    <xdr:sp macro="" textlink="">
      <xdr:nvSpPr>
        <xdr:cNvPr id="142" name="AutoShape 161" descr="+">
          <a:extLst>
            <a:ext uri="{FF2B5EF4-FFF2-40B4-BE49-F238E27FC236}">
              <a16:creationId xmlns:a16="http://schemas.microsoft.com/office/drawing/2014/main" id="{00000000-0008-0000-0B00-00008E000000}"/>
            </a:ext>
          </a:extLst>
        </xdr:cNvPr>
        <xdr:cNvSpPr>
          <a:spLocks noChangeAspect="1" noChangeArrowheads="1"/>
        </xdr:cNvSpPr>
      </xdr:nvSpPr>
      <xdr:spPr bwMode="auto">
        <a:xfrm>
          <a:off x="0" y="25155525"/>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48584</xdr:rowOff>
    </xdr:to>
    <xdr:sp macro="" textlink="">
      <xdr:nvSpPr>
        <xdr:cNvPr id="143" name="AutoShape 162" descr="+">
          <a:extLst>
            <a:ext uri="{FF2B5EF4-FFF2-40B4-BE49-F238E27FC236}">
              <a16:creationId xmlns:a16="http://schemas.microsoft.com/office/drawing/2014/main" id="{00000000-0008-0000-0B00-00008F000000}"/>
            </a:ext>
          </a:extLst>
        </xdr:cNvPr>
        <xdr:cNvSpPr>
          <a:spLocks noChangeAspect="1" noChangeArrowheads="1"/>
        </xdr:cNvSpPr>
      </xdr:nvSpPr>
      <xdr:spPr bwMode="auto">
        <a:xfrm>
          <a:off x="0" y="25155525"/>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48586</xdr:rowOff>
    </xdr:to>
    <xdr:sp macro="" textlink="">
      <xdr:nvSpPr>
        <xdr:cNvPr id="144" name="AutoShape 163" descr="+">
          <a:extLst>
            <a:ext uri="{FF2B5EF4-FFF2-40B4-BE49-F238E27FC236}">
              <a16:creationId xmlns:a16="http://schemas.microsoft.com/office/drawing/2014/main" id="{00000000-0008-0000-0B00-000090000000}"/>
            </a:ext>
          </a:extLst>
        </xdr:cNvPr>
        <xdr:cNvSpPr>
          <a:spLocks noChangeAspect="1" noChangeArrowheads="1"/>
        </xdr:cNvSpPr>
      </xdr:nvSpPr>
      <xdr:spPr bwMode="auto">
        <a:xfrm>
          <a:off x="0" y="2515552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29534</xdr:rowOff>
    </xdr:to>
    <xdr:sp macro="" textlink="">
      <xdr:nvSpPr>
        <xdr:cNvPr id="145" name="AutoShape 164" descr="+">
          <a:extLst>
            <a:ext uri="{FF2B5EF4-FFF2-40B4-BE49-F238E27FC236}">
              <a16:creationId xmlns:a16="http://schemas.microsoft.com/office/drawing/2014/main" id="{00000000-0008-0000-0B00-000091000000}"/>
            </a:ext>
          </a:extLst>
        </xdr:cNvPr>
        <xdr:cNvSpPr>
          <a:spLocks noChangeAspect="1" noChangeArrowheads="1"/>
        </xdr:cNvSpPr>
      </xdr:nvSpPr>
      <xdr:spPr bwMode="auto">
        <a:xfrm>
          <a:off x="0" y="25155525"/>
          <a:ext cx="304800" cy="191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48584</xdr:rowOff>
    </xdr:to>
    <xdr:sp macro="" textlink="">
      <xdr:nvSpPr>
        <xdr:cNvPr id="146" name="AutoShape 165" descr="+">
          <a:extLst>
            <a:ext uri="{FF2B5EF4-FFF2-40B4-BE49-F238E27FC236}">
              <a16:creationId xmlns:a16="http://schemas.microsoft.com/office/drawing/2014/main" id="{00000000-0008-0000-0B00-000092000000}"/>
            </a:ext>
          </a:extLst>
        </xdr:cNvPr>
        <xdr:cNvSpPr>
          <a:spLocks noChangeAspect="1" noChangeArrowheads="1"/>
        </xdr:cNvSpPr>
      </xdr:nvSpPr>
      <xdr:spPr bwMode="auto">
        <a:xfrm>
          <a:off x="0" y="25155525"/>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48584</xdr:rowOff>
    </xdr:to>
    <xdr:sp macro="" textlink="">
      <xdr:nvSpPr>
        <xdr:cNvPr id="147" name="AutoShape 166" descr="+">
          <a:extLst>
            <a:ext uri="{FF2B5EF4-FFF2-40B4-BE49-F238E27FC236}">
              <a16:creationId xmlns:a16="http://schemas.microsoft.com/office/drawing/2014/main" id="{00000000-0008-0000-0B00-000093000000}"/>
            </a:ext>
          </a:extLst>
        </xdr:cNvPr>
        <xdr:cNvSpPr>
          <a:spLocks noChangeAspect="1" noChangeArrowheads="1"/>
        </xdr:cNvSpPr>
      </xdr:nvSpPr>
      <xdr:spPr bwMode="auto">
        <a:xfrm>
          <a:off x="0" y="25155525"/>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48587</xdr:rowOff>
    </xdr:to>
    <xdr:sp macro="" textlink="">
      <xdr:nvSpPr>
        <xdr:cNvPr id="148" name="AutoShape 167" descr="+">
          <a:extLst>
            <a:ext uri="{FF2B5EF4-FFF2-40B4-BE49-F238E27FC236}">
              <a16:creationId xmlns:a16="http://schemas.microsoft.com/office/drawing/2014/main" id="{00000000-0008-0000-0B00-000094000000}"/>
            </a:ext>
          </a:extLst>
        </xdr:cNvPr>
        <xdr:cNvSpPr>
          <a:spLocks noChangeAspect="1" noChangeArrowheads="1"/>
        </xdr:cNvSpPr>
      </xdr:nvSpPr>
      <xdr:spPr bwMode="auto">
        <a:xfrm>
          <a:off x="0" y="25155525"/>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146959</xdr:rowOff>
    </xdr:to>
    <xdr:sp macro="" textlink="">
      <xdr:nvSpPr>
        <xdr:cNvPr id="149" name="AutoShape 168" descr="+">
          <a:extLst>
            <a:ext uri="{FF2B5EF4-FFF2-40B4-BE49-F238E27FC236}">
              <a16:creationId xmlns:a16="http://schemas.microsoft.com/office/drawing/2014/main" id="{00000000-0008-0000-0B00-000095000000}"/>
            </a:ext>
          </a:extLst>
        </xdr:cNvPr>
        <xdr:cNvSpPr>
          <a:spLocks noChangeAspect="1" noChangeArrowheads="1"/>
        </xdr:cNvSpPr>
      </xdr:nvSpPr>
      <xdr:spPr bwMode="auto">
        <a:xfrm>
          <a:off x="0" y="25155525"/>
          <a:ext cx="304800" cy="30888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13607</xdr:rowOff>
    </xdr:to>
    <xdr:sp macro="" textlink="">
      <xdr:nvSpPr>
        <xdr:cNvPr id="150" name="AutoShape 169" descr="+">
          <a:extLst>
            <a:ext uri="{FF2B5EF4-FFF2-40B4-BE49-F238E27FC236}">
              <a16:creationId xmlns:a16="http://schemas.microsoft.com/office/drawing/2014/main" id="{00000000-0008-0000-0B00-000096000000}"/>
            </a:ext>
          </a:extLst>
        </xdr:cNvPr>
        <xdr:cNvSpPr>
          <a:spLocks noChangeAspect="1" noChangeArrowheads="1"/>
        </xdr:cNvSpPr>
      </xdr:nvSpPr>
      <xdr:spPr bwMode="auto">
        <a:xfrm>
          <a:off x="0" y="25155525"/>
          <a:ext cx="304800" cy="17553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42180</xdr:rowOff>
    </xdr:to>
    <xdr:sp macro="" textlink="">
      <xdr:nvSpPr>
        <xdr:cNvPr id="151" name="AutoShape 170" descr="+">
          <a:extLst>
            <a:ext uri="{FF2B5EF4-FFF2-40B4-BE49-F238E27FC236}">
              <a16:creationId xmlns:a16="http://schemas.microsoft.com/office/drawing/2014/main" id="{00000000-0008-0000-0B00-000097000000}"/>
            </a:ext>
          </a:extLst>
        </xdr:cNvPr>
        <xdr:cNvSpPr>
          <a:spLocks noChangeAspect="1" noChangeArrowheads="1"/>
        </xdr:cNvSpPr>
      </xdr:nvSpPr>
      <xdr:spPr bwMode="auto">
        <a:xfrm>
          <a:off x="0" y="25155525"/>
          <a:ext cx="304800" cy="20410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146957</xdr:rowOff>
    </xdr:to>
    <xdr:sp macro="" textlink="">
      <xdr:nvSpPr>
        <xdr:cNvPr id="152" name="AutoShape 171" descr="+">
          <a:extLst>
            <a:ext uri="{FF2B5EF4-FFF2-40B4-BE49-F238E27FC236}">
              <a16:creationId xmlns:a16="http://schemas.microsoft.com/office/drawing/2014/main" id="{00000000-0008-0000-0B00-000098000000}"/>
            </a:ext>
          </a:extLst>
        </xdr:cNvPr>
        <xdr:cNvSpPr>
          <a:spLocks noChangeAspect="1" noChangeArrowheads="1"/>
        </xdr:cNvSpPr>
      </xdr:nvSpPr>
      <xdr:spPr bwMode="auto">
        <a:xfrm>
          <a:off x="0" y="25155525"/>
          <a:ext cx="304800" cy="308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42182</xdr:rowOff>
    </xdr:to>
    <xdr:sp macro="" textlink="">
      <xdr:nvSpPr>
        <xdr:cNvPr id="153" name="AutoShape 172" descr="+">
          <a:extLst>
            <a:ext uri="{FF2B5EF4-FFF2-40B4-BE49-F238E27FC236}">
              <a16:creationId xmlns:a16="http://schemas.microsoft.com/office/drawing/2014/main" id="{00000000-0008-0000-0B00-000099000000}"/>
            </a:ext>
          </a:extLst>
        </xdr:cNvPr>
        <xdr:cNvSpPr>
          <a:spLocks noChangeAspect="1" noChangeArrowheads="1"/>
        </xdr:cNvSpPr>
      </xdr:nvSpPr>
      <xdr:spPr bwMode="auto">
        <a:xfrm>
          <a:off x="0" y="25155525"/>
          <a:ext cx="304800" cy="2041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9804</xdr:rowOff>
    </xdr:to>
    <xdr:sp macro="" textlink="">
      <xdr:nvSpPr>
        <xdr:cNvPr id="154" name="AutoShape 173" descr="+">
          <a:extLst>
            <a:ext uri="{FF2B5EF4-FFF2-40B4-BE49-F238E27FC236}">
              <a16:creationId xmlns:a16="http://schemas.microsoft.com/office/drawing/2014/main" id="{00000000-0008-0000-0B00-00009A000000}"/>
            </a:ext>
          </a:extLst>
        </xdr:cNvPr>
        <xdr:cNvSpPr>
          <a:spLocks noChangeAspect="1" noChangeArrowheads="1"/>
        </xdr:cNvSpPr>
      </xdr:nvSpPr>
      <xdr:spPr bwMode="auto">
        <a:xfrm>
          <a:off x="0" y="25155525"/>
          <a:ext cx="304800" cy="17172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11205</xdr:rowOff>
    </xdr:to>
    <xdr:sp macro="" textlink="">
      <xdr:nvSpPr>
        <xdr:cNvPr id="155" name="AutoShape 174" descr="+">
          <a:extLst>
            <a:ext uri="{FF2B5EF4-FFF2-40B4-BE49-F238E27FC236}">
              <a16:creationId xmlns:a16="http://schemas.microsoft.com/office/drawing/2014/main" id="{00000000-0008-0000-0B00-00009B000000}"/>
            </a:ext>
          </a:extLst>
        </xdr:cNvPr>
        <xdr:cNvSpPr>
          <a:spLocks noChangeAspect="1" noChangeArrowheads="1"/>
        </xdr:cNvSpPr>
      </xdr:nvSpPr>
      <xdr:spPr bwMode="auto">
        <a:xfrm>
          <a:off x="0" y="25155525"/>
          <a:ext cx="304800" cy="1731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9804</xdr:rowOff>
    </xdr:to>
    <xdr:sp macro="" textlink="">
      <xdr:nvSpPr>
        <xdr:cNvPr id="156" name="AutoShape 175" descr="+">
          <a:extLst>
            <a:ext uri="{FF2B5EF4-FFF2-40B4-BE49-F238E27FC236}">
              <a16:creationId xmlns:a16="http://schemas.microsoft.com/office/drawing/2014/main" id="{00000000-0008-0000-0B00-00009C000000}"/>
            </a:ext>
          </a:extLst>
        </xdr:cNvPr>
        <xdr:cNvSpPr>
          <a:spLocks noChangeAspect="1" noChangeArrowheads="1"/>
        </xdr:cNvSpPr>
      </xdr:nvSpPr>
      <xdr:spPr bwMode="auto">
        <a:xfrm>
          <a:off x="0" y="25155525"/>
          <a:ext cx="304800" cy="17172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48583</xdr:rowOff>
    </xdr:to>
    <xdr:sp macro="" textlink="">
      <xdr:nvSpPr>
        <xdr:cNvPr id="157" name="AutoShape 176" descr="+">
          <a:extLst>
            <a:ext uri="{FF2B5EF4-FFF2-40B4-BE49-F238E27FC236}">
              <a16:creationId xmlns:a16="http://schemas.microsoft.com/office/drawing/2014/main" id="{00000000-0008-0000-0B00-00009D000000}"/>
            </a:ext>
          </a:extLst>
        </xdr:cNvPr>
        <xdr:cNvSpPr>
          <a:spLocks noChangeAspect="1" noChangeArrowheads="1"/>
        </xdr:cNvSpPr>
      </xdr:nvSpPr>
      <xdr:spPr bwMode="auto">
        <a:xfrm>
          <a:off x="0" y="25155525"/>
          <a:ext cx="304800" cy="2105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48586</xdr:rowOff>
    </xdr:to>
    <xdr:sp macro="" textlink="">
      <xdr:nvSpPr>
        <xdr:cNvPr id="158" name="AutoShape 177" descr="+">
          <a:extLst>
            <a:ext uri="{FF2B5EF4-FFF2-40B4-BE49-F238E27FC236}">
              <a16:creationId xmlns:a16="http://schemas.microsoft.com/office/drawing/2014/main" id="{00000000-0008-0000-0B00-00009E000000}"/>
            </a:ext>
          </a:extLst>
        </xdr:cNvPr>
        <xdr:cNvSpPr>
          <a:spLocks noChangeAspect="1" noChangeArrowheads="1"/>
        </xdr:cNvSpPr>
      </xdr:nvSpPr>
      <xdr:spPr bwMode="auto">
        <a:xfrm>
          <a:off x="0" y="2515552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48586</xdr:rowOff>
    </xdr:to>
    <xdr:sp macro="" textlink="">
      <xdr:nvSpPr>
        <xdr:cNvPr id="159" name="AutoShape 178" descr="+">
          <a:extLst>
            <a:ext uri="{FF2B5EF4-FFF2-40B4-BE49-F238E27FC236}">
              <a16:creationId xmlns:a16="http://schemas.microsoft.com/office/drawing/2014/main" id="{00000000-0008-0000-0B00-00009F000000}"/>
            </a:ext>
          </a:extLst>
        </xdr:cNvPr>
        <xdr:cNvSpPr>
          <a:spLocks noChangeAspect="1" noChangeArrowheads="1"/>
        </xdr:cNvSpPr>
      </xdr:nvSpPr>
      <xdr:spPr bwMode="auto">
        <a:xfrm>
          <a:off x="0" y="2515552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9804</xdr:rowOff>
    </xdr:to>
    <xdr:sp macro="" textlink="">
      <xdr:nvSpPr>
        <xdr:cNvPr id="160" name="AutoShape 179" descr="+">
          <a:extLst>
            <a:ext uri="{FF2B5EF4-FFF2-40B4-BE49-F238E27FC236}">
              <a16:creationId xmlns:a16="http://schemas.microsoft.com/office/drawing/2014/main" id="{00000000-0008-0000-0B00-0000A0000000}"/>
            </a:ext>
          </a:extLst>
        </xdr:cNvPr>
        <xdr:cNvSpPr>
          <a:spLocks noChangeAspect="1" noChangeArrowheads="1"/>
        </xdr:cNvSpPr>
      </xdr:nvSpPr>
      <xdr:spPr bwMode="auto">
        <a:xfrm>
          <a:off x="0" y="25155525"/>
          <a:ext cx="304800" cy="17172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29536</xdr:rowOff>
    </xdr:to>
    <xdr:sp macro="" textlink="">
      <xdr:nvSpPr>
        <xdr:cNvPr id="161" name="AutoShape 180" descr="+">
          <a:extLst>
            <a:ext uri="{FF2B5EF4-FFF2-40B4-BE49-F238E27FC236}">
              <a16:creationId xmlns:a16="http://schemas.microsoft.com/office/drawing/2014/main" id="{00000000-0008-0000-0B00-0000A1000000}"/>
            </a:ext>
          </a:extLst>
        </xdr:cNvPr>
        <xdr:cNvSpPr>
          <a:spLocks noChangeAspect="1" noChangeArrowheads="1"/>
        </xdr:cNvSpPr>
      </xdr:nvSpPr>
      <xdr:spPr bwMode="auto">
        <a:xfrm>
          <a:off x="0" y="25155525"/>
          <a:ext cx="304800" cy="19146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48582</xdr:rowOff>
    </xdr:to>
    <xdr:sp macro="" textlink="">
      <xdr:nvSpPr>
        <xdr:cNvPr id="162" name="AutoShape 181" descr="+">
          <a:extLst>
            <a:ext uri="{FF2B5EF4-FFF2-40B4-BE49-F238E27FC236}">
              <a16:creationId xmlns:a16="http://schemas.microsoft.com/office/drawing/2014/main" id="{00000000-0008-0000-0B00-0000A2000000}"/>
            </a:ext>
          </a:extLst>
        </xdr:cNvPr>
        <xdr:cNvSpPr>
          <a:spLocks noChangeAspect="1" noChangeArrowheads="1"/>
        </xdr:cNvSpPr>
      </xdr:nvSpPr>
      <xdr:spPr bwMode="auto">
        <a:xfrm>
          <a:off x="0" y="25155525"/>
          <a:ext cx="304800" cy="2105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147990</xdr:rowOff>
    </xdr:to>
    <xdr:sp macro="" textlink="">
      <xdr:nvSpPr>
        <xdr:cNvPr id="163" name="AutoShape 182" descr="+">
          <a:extLst>
            <a:ext uri="{FF2B5EF4-FFF2-40B4-BE49-F238E27FC236}">
              <a16:creationId xmlns:a16="http://schemas.microsoft.com/office/drawing/2014/main" id="{00000000-0008-0000-0B00-0000A3000000}"/>
            </a:ext>
          </a:extLst>
        </xdr:cNvPr>
        <xdr:cNvSpPr>
          <a:spLocks noChangeAspect="1" noChangeArrowheads="1"/>
        </xdr:cNvSpPr>
      </xdr:nvSpPr>
      <xdr:spPr bwMode="auto">
        <a:xfrm>
          <a:off x="0" y="25155525"/>
          <a:ext cx="304800" cy="3099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48586</xdr:rowOff>
    </xdr:to>
    <xdr:sp macro="" textlink="">
      <xdr:nvSpPr>
        <xdr:cNvPr id="164" name="AutoShape 183" descr="+">
          <a:extLst>
            <a:ext uri="{FF2B5EF4-FFF2-40B4-BE49-F238E27FC236}">
              <a16:creationId xmlns:a16="http://schemas.microsoft.com/office/drawing/2014/main" id="{00000000-0008-0000-0B00-0000A4000000}"/>
            </a:ext>
          </a:extLst>
        </xdr:cNvPr>
        <xdr:cNvSpPr>
          <a:spLocks noChangeAspect="1" noChangeArrowheads="1"/>
        </xdr:cNvSpPr>
      </xdr:nvSpPr>
      <xdr:spPr bwMode="auto">
        <a:xfrm>
          <a:off x="0" y="2515552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48586</xdr:rowOff>
    </xdr:to>
    <xdr:sp macro="" textlink="">
      <xdr:nvSpPr>
        <xdr:cNvPr id="165" name="AutoShape 184" descr="+">
          <a:extLst>
            <a:ext uri="{FF2B5EF4-FFF2-40B4-BE49-F238E27FC236}">
              <a16:creationId xmlns:a16="http://schemas.microsoft.com/office/drawing/2014/main" id="{00000000-0008-0000-0B00-0000A5000000}"/>
            </a:ext>
          </a:extLst>
        </xdr:cNvPr>
        <xdr:cNvSpPr>
          <a:spLocks noChangeAspect="1" noChangeArrowheads="1"/>
        </xdr:cNvSpPr>
      </xdr:nvSpPr>
      <xdr:spPr bwMode="auto">
        <a:xfrm>
          <a:off x="0" y="2515552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42183</xdr:rowOff>
    </xdr:to>
    <xdr:sp macro="" textlink="">
      <xdr:nvSpPr>
        <xdr:cNvPr id="166" name="AutoShape 185" descr="+">
          <a:extLst>
            <a:ext uri="{FF2B5EF4-FFF2-40B4-BE49-F238E27FC236}">
              <a16:creationId xmlns:a16="http://schemas.microsoft.com/office/drawing/2014/main" id="{00000000-0008-0000-0B00-0000A6000000}"/>
            </a:ext>
          </a:extLst>
        </xdr:cNvPr>
        <xdr:cNvSpPr>
          <a:spLocks noChangeAspect="1" noChangeArrowheads="1"/>
        </xdr:cNvSpPr>
      </xdr:nvSpPr>
      <xdr:spPr bwMode="auto">
        <a:xfrm>
          <a:off x="0" y="25155525"/>
          <a:ext cx="304800" cy="2041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14566</xdr:rowOff>
    </xdr:to>
    <xdr:sp macro="" textlink="">
      <xdr:nvSpPr>
        <xdr:cNvPr id="167" name="AutoShape 186" descr="+">
          <a:extLst>
            <a:ext uri="{FF2B5EF4-FFF2-40B4-BE49-F238E27FC236}">
              <a16:creationId xmlns:a16="http://schemas.microsoft.com/office/drawing/2014/main" id="{00000000-0008-0000-0B00-0000A7000000}"/>
            </a:ext>
          </a:extLst>
        </xdr:cNvPr>
        <xdr:cNvSpPr>
          <a:spLocks noChangeAspect="1" noChangeArrowheads="1"/>
        </xdr:cNvSpPr>
      </xdr:nvSpPr>
      <xdr:spPr bwMode="auto">
        <a:xfrm>
          <a:off x="0" y="25155525"/>
          <a:ext cx="304800" cy="17649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9805</xdr:rowOff>
    </xdr:to>
    <xdr:sp macro="" textlink="">
      <xdr:nvSpPr>
        <xdr:cNvPr id="168" name="AutoShape 187" descr="+">
          <a:extLst>
            <a:ext uri="{FF2B5EF4-FFF2-40B4-BE49-F238E27FC236}">
              <a16:creationId xmlns:a16="http://schemas.microsoft.com/office/drawing/2014/main" id="{00000000-0008-0000-0B00-0000A8000000}"/>
            </a:ext>
          </a:extLst>
        </xdr:cNvPr>
        <xdr:cNvSpPr>
          <a:spLocks noChangeAspect="1" noChangeArrowheads="1"/>
        </xdr:cNvSpPr>
      </xdr:nvSpPr>
      <xdr:spPr bwMode="auto">
        <a:xfrm>
          <a:off x="0" y="25155525"/>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48587</xdr:rowOff>
    </xdr:to>
    <xdr:sp macro="" textlink="">
      <xdr:nvSpPr>
        <xdr:cNvPr id="169" name="AutoShape 188" descr="+">
          <a:extLst>
            <a:ext uri="{FF2B5EF4-FFF2-40B4-BE49-F238E27FC236}">
              <a16:creationId xmlns:a16="http://schemas.microsoft.com/office/drawing/2014/main" id="{00000000-0008-0000-0B00-0000A9000000}"/>
            </a:ext>
          </a:extLst>
        </xdr:cNvPr>
        <xdr:cNvSpPr>
          <a:spLocks noChangeAspect="1" noChangeArrowheads="1"/>
        </xdr:cNvSpPr>
      </xdr:nvSpPr>
      <xdr:spPr bwMode="auto">
        <a:xfrm>
          <a:off x="0" y="25155525"/>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48585</xdr:rowOff>
    </xdr:to>
    <xdr:sp macro="" textlink="">
      <xdr:nvSpPr>
        <xdr:cNvPr id="170" name="AutoShape 189" descr="+">
          <a:extLst>
            <a:ext uri="{FF2B5EF4-FFF2-40B4-BE49-F238E27FC236}">
              <a16:creationId xmlns:a16="http://schemas.microsoft.com/office/drawing/2014/main" id="{00000000-0008-0000-0B00-0000AA000000}"/>
            </a:ext>
          </a:extLst>
        </xdr:cNvPr>
        <xdr:cNvSpPr>
          <a:spLocks noChangeAspect="1" noChangeArrowheads="1"/>
        </xdr:cNvSpPr>
      </xdr:nvSpPr>
      <xdr:spPr bwMode="auto">
        <a:xfrm>
          <a:off x="0" y="2515552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10483</xdr:rowOff>
    </xdr:to>
    <xdr:sp macro="" textlink="">
      <xdr:nvSpPr>
        <xdr:cNvPr id="171" name="AutoShape 190" descr="+">
          <a:extLst>
            <a:ext uri="{FF2B5EF4-FFF2-40B4-BE49-F238E27FC236}">
              <a16:creationId xmlns:a16="http://schemas.microsoft.com/office/drawing/2014/main" id="{00000000-0008-0000-0B00-0000AB000000}"/>
            </a:ext>
          </a:extLst>
        </xdr:cNvPr>
        <xdr:cNvSpPr>
          <a:spLocks noChangeAspect="1" noChangeArrowheads="1"/>
        </xdr:cNvSpPr>
      </xdr:nvSpPr>
      <xdr:spPr bwMode="auto">
        <a:xfrm>
          <a:off x="0" y="25155525"/>
          <a:ext cx="304800" cy="1724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48585</xdr:rowOff>
    </xdr:to>
    <xdr:sp macro="" textlink="">
      <xdr:nvSpPr>
        <xdr:cNvPr id="172" name="AutoShape 191" descr="+">
          <a:extLst>
            <a:ext uri="{FF2B5EF4-FFF2-40B4-BE49-F238E27FC236}">
              <a16:creationId xmlns:a16="http://schemas.microsoft.com/office/drawing/2014/main" id="{00000000-0008-0000-0B00-0000AC000000}"/>
            </a:ext>
          </a:extLst>
        </xdr:cNvPr>
        <xdr:cNvSpPr>
          <a:spLocks noChangeAspect="1" noChangeArrowheads="1"/>
        </xdr:cNvSpPr>
      </xdr:nvSpPr>
      <xdr:spPr bwMode="auto">
        <a:xfrm>
          <a:off x="0" y="2515552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14566</xdr:rowOff>
    </xdr:to>
    <xdr:sp macro="" textlink="">
      <xdr:nvSpPr>
        <xdr:cNvPr id="173" name="AutoShape 192" descr="+">
          <a:extLst>
            <a:ext uri="{FF2B5EF4-FFF2-40B4-BE49-F238E27FC236}">
              <a16:creationId xmlns:a16="http://schemas.microsoft.com/office/drawing/2014/main" id="{00000000-0008-0000-0B00-0000AD000000}"/>
            </a:ext>
          </a:extLst>
        </xdr:cNvPr>
        <xdr:cNvSpPr>
          <a:spLocks noChangeAspect="1" noChangeArrowheads="1"/>
        </xdr:cNvSpPr>
      </xdr:nvSpPr>
      <xdr:spPr bwMode="auto">
        <a:xfrm>
          <a:off x="0" y="25155525"/>
          <a:ext cx="304800" cy="17649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48586</xdr:rowOff>
    </xdr:to>
    <xdr:sp macro="" textlink="">
      <xdr:nvSpPr>
        <xdr:cNvPr id="174" name="AutoShape 193" descr="+">
          <a:extLst>
            <a:ext uri="{FF2B5EF4-FFF2-40B4-BE49-F238E27FC236}">
              <a16:creationId xmlns:a16="http://schemas.microsoft.com/office/drawing/2014/main" id="{00000000-0008-0000-0B00-0000AE000000}"/>
            </a:ext>
          </a:extLst>
        </xdr:cNvPr>
        <xdr:cNvSpPr>
          <a:spLocks noChangeAspect="1" noChangeArrowheads="1"/>
        </xdr:cNvSpPr>
      </xdr:nvSpPr>
      <xdr:spPr bwMode="auto">
        <a:xfrm>
          <a:off x="0" y="2515552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48586</xdr:rowOff>
    </xdr:to>
    <xdr:sp macro="" textlink="">
      <xdr:nvSpPr>
        <xdr:cNvPr id="175" name="AutoShape 194" descr="+">
          <a:extLst>
            <a:ext uri="{FF2B5EF4-FFF2-40B4-BE49-F238E27FC236}">
              <a16:creationId xmlns:a16="http://schemas.microsoft.com/office/drawing/2014/main" id="{00000000-0008-0000-0B00-0000AF000000}"/>
            </a:ext>
          </a:extLst>
        </xdr:cNvPr>
        <xdr:cNvSpPr>
          <a:spLocks noChangeAspect="1" noChangeArrowheads="1"/>
        </xdr:cNvSpPr>
      </xdr:nvSpPr>
      <xdr:spPr bwMode="auto">
        <a:xfrm>
          <a:off x="0" y="2515552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20010</xdr:rowOff>
    </xdr:to>
    <xdr:sp macro="" textlink="">
      <xdr:nvSpPr>
        <xdr:cNvPr id="176" name="AutoShape 195" descr="+">
          <a:extLst>
            <a:ext uri="{FF2B5EF4-FFF2-40B4-BE49-F238E27FC236}">
              <a16:creationId xmlns:a16="http://schemas.microsoft.com/office/drawing/2014/main" id="{00000000-0008-0000-0B00-0000B0000000}"/>
            </a:ext>
          </a:extLst>
        </xdr:cNvPr>
        <xdr:cNvSpPr>
          <a:spLocks noChangeAspect="1" noChangeArrowheads="1"/>
        </xdr:cNvSpPr>
      </xdr:nvSpPr>
      <xdr:spPr bwMode="auto">
        <a:xfrm>
          <a:off x="0" y="25155525"/>
          <a:ext cx="304800" cy="18193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38778</xdr:rowOff>
    </xdr:to>
    <xdr:sp macro="" textlink="">
      <xdr:nvSpPr>
        <xdr:cNvPr id="177" name="AutoShape 196" descr="+">
          <a:extLst>
            <a:ext uri="{FF2B5EF4-FFF2-40B4-BE49-F238E27FC236}">
              <a16:creationId xmlns:a16="http://schemas.microsoft.com/office/drawing/2014/main" id="{00000000-0008-0000-0B00-0000B1000000}"/>
            </a:ext>
          </a:extLst>
        </xdr:cNvPr>
        <xdr:cNvSpPr>
          <a:spLocks noChangeAspect="1" noChangeArrowheads="1"/>
        </xdr:cNvSpPr>
      </xdr:nvSpPr>
      <xdr:spPr bwMode="auto">
        <a:xfrm>
          <a:off x="0" y="25155525"/>
          <a:ext cx="304800" cy="2007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142874</xdr:rowOff>
    </xdr:to>
    <xdr:sp macro="" textlink="">
      <xdr:nvSpPr>
        <xdr:cNvPr id="178" name="AutoShape 197" descr="+">
          <a:extLst>
            <a:ext uri="{FF2B5EF4-FFF2-40B4-BE49-F238E27FC236}">
              <a16:creationId xmlns:a16="http://schemas.microsoft.com/office/drawing/2014/main" id="{00000000-0008-0000-0B00-0000B2000000}"/>
            </a:ext>
          </a:extLst>
        </xdr:cNvPr>
        <xdr:cNvSpPr>
          <a:spLocks noChangeAspect="1" noChangeArrowheads="1"/>
        </xdr:cNvSpPr>
      </xdr:nvSpPr>
      <xdr:spPr bwMode="auto">
        <a:xfrm>
          <a:off x="0" y="251555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9804</xdr:rowOff>
    </xdr:to>
    <xdr:sp macro="" textlink="">
      <xdr:nvSpPr>
        <xdr:cNvPr id="179" name="AutoShape 198" descr="+">
          <a:extLst>
            <a:ext uri="{FF2B5EF4-FFF2-40B4-BE49-F238E27FC236}">
              <a16:creationId xmlns:a16="http://schemas.microsoft.com/office/drawing/2014/main" id="{00000000-0008-0000-0B00-0000B3000000}"/>
            </a:ext>
          </a:extLst>
        </xdr:cNvPr>
        <xdr:cNvSpPr>
          <a:spLocks noChangeAspect="1" noChangeArrowheads="1"/>
        </xdr:cNvSpPr>
      </xdr:nvSpPr>
      <xdr:spPr bwMode="auto">
        <a:xfrm>
          <a:off x="0" y="25155525"/>
          <a:ext cx="304800" cy="17172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9806</xdr:rowOff>
    </xdr:to>
    <xdr:sp macro="" textlink="">
      <xdr:nvSpPr>
        <xdr:cNvPr id="180" name="AutoShape 199" descr="+">
          <a:extLst>
            <a:ext uri="{FF2B5EF4-FFF2-40B4-BE49-F238E27FC236}">
              <a16:creationId xmlns:a16="http://schemas.microsoft.com/office/drawing/2014/main" id="{00000000-0008-0000-0B00-0000B4000000}"/>
            </a:ext>
          </a:extLst>
        </xdr:cNvPr>
        <xdr:cNvSpPr>
          <a:spLocks noChangeAspect="1" noChangeArrowheads="1"/>
        </xdr:cNvSpPr>
      </xdr:nvSpPr>
      <xdr:spPr bwMode="auto">
        <a:xfrm>
          <a:off x="0" y="25155525"/>
          <a:ext cx="304800" cy="17173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21544</xdr:rowOff>
    </xdr:to>
    <xdr:sp macro="" textlink="">
      <xdr:nvSpPr>
        <xdr:cNvPr id="181" name="AutoShape 200" descr="+">
          <a:extLst>
            <a:ext uri="{FF2B5EF4-FFF2-40B4-BE49-F238E27FC236}">
              <a16:creationId xmlns:a16="http://schemas.microsoft.com/office/drawing/2014/main" id="{00000000-0008-0000-0B00-0000B5000000}"/>
            </a:ext>
          </a:extLst>
        </xdr:cNvPr>
        <xdr:cNvSpPr>
          <a:spLocks noChangeAspect="1" noChangeArrowheads="1"/>
        </xdr:cNvSpPr>
      </xdr:nvSpPr>
      <xdr:spPr bwMode="auto">
        <a:xfrm>
          <a:off x="0" y="25155525"/>
          <a:ext cx="304800" cy="18346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9805</xdr:rowOff>
    </xdr:to>
    <xdr:sp macro="" textlink="">
      <xdr:nvSpPr>
        <xdr:cNvPr id="182" name="AutoShape 201" descr="+">
          <a:extLst>
            <a:ext uri="{FF2B5EF4-FFF2-40B4-BE49-F238E27FC236}">
              <a16:creationId xmlns:a16="http://schemas.microsoft.com/office/drawing/2014/main" id="{00000000-0008-0000-0B00-0000B6000000}"/>
            </a:ext>
          </a:extLst>
        </xdr:cNvPr>
        <xdr:cNvSpPr>
          <a:spLocks noChangeAspect="1" noChangeArrowheads="1"/>
        </xdr:cNvSpPr>
      </xdr:nvSpPr>
      <xdr:spPr bwMode="auto">
        <a:xfrm>
          <a:off x="0" y="25155525"/>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48586</xdr:rowOff>
    </xdr:to>
    <xdr:sp macro="" textlink="">
      <xdr:nvSpPr>
        <xdr:cNvPr id="183" name="AutoShape 202" descr="+">
          <a:extLst>
            <a:ext uri="{FF2B5EF4-FFF2-40B4-BE49-F238E27FC236}">
              <a16:creationId xmlns:a16="http://schemas.microsoft.com/office/drawing/2014/main" id="{00000000-0008-0000-0B00-0000B7000000}"/>
            </a:ext>
          </a:extLst>
        </xdr:cNvPr>
        <xdr:cNvSpPr>
          <a:spLocks noChangeAspect="1" noChangeArrowheads="1"/>
        </xdr:cNvSpPr>
      </xdr:nvSpPr>
      <xdr:spPr bwMode="auto">
        <a:xfrm>
          <a:off x="0" y="2515552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48584</xdr:rowOff>
    </xdr:to>
    <xdr:sp macro="" textlink="">
      <xdr:nvSpPr>
        <xdr:cNvPr id="184" name="AutoShape 203" descr="+">
          <a:extLst>
            <a:ext uri="{FF2B5EF4-FFF2-40B4-BE49-F238E27FC236}">
              <a16:creationId xmlns:a16="http://schemas.microsoft.com/office/drawing/2014/main" id="{00000000-0008-0000-0B00-0000B8000000}"/>
            </a:ext>
          </a:extLst>
        </xdr:cNvPr>
        <xdr:cNvSpPr>
          <a:spLocks noChangeAspect="1" noChangeArrowheads="1"/>
        </xdr:cNvSpPr>
      </xdr:nvSpPr>
      <xdr:spPr bwMode="auto">
        <a:xfrm>
          <a:off x="0" y="25155525"/>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48584</xdr:rowOff>
    </xdr:to>
    <xdr:sp macro="" textlink="">
      <xdr:nvSpPr>
        <xdr:cNvPr id="185" name="AutoShape 204" descr="+">
          <a:extLst>
            <a:ext uri="{FF2B5EF4-FFF2-40B4-BE49-F238E27FC236}">
              <a16:creationId xmlns:a16="http://schemas.microsoft.com/office/drawing/2014/main" id="{00000000-0008-0000-0B00-0000B9000000}"/>
            </a:ext>
          </a:extLst>
        </xdr:cNvPr>
        <xdr:cNvSpPr>
          <a:spLocks noChangeAspect="1" noChangeArrowheads="1"/>
        </xdr:cNvSpPr>
      </xdr:nvSpPr>
      <xdr:spPr bwMode="auto">
        <a:xfrm>
          <a:off x="0" y="25155525"/>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48586</xdr:rowOff>
    </xdr:to>
    <xdr:sp macro="" textlink="">
      <xdr:nvSpPr>
        <xdr:cNvPr id="186" name="AutoShape 205" descr="+">
          <a:extLst>
            <a:ext uri="{FF2B5EF4-FFF2-40B4-BE49-F238E27FC236}">
              <a16:creationId xmlns:a16="http://schemas.microsoft.com/office/drawing/2014/main" id="{00000000-0008-0000-0B00-0000BA000000}"/>
            </a:ext>
          </a:extLst>
        </xdr:cNvPr>
        <xdr:cNvSpPr>
          <a:spLocks noChangeAspect="1" noChangeArrowheads="1"/>
        </xdr:cNvSpPr>
      </xdr:nvSpPr>
      <xdr:spPr bwMode="auto">
        <a:xfrm>
          <a:off x="0" y="2515552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9804</xdr:rowOff>
    </xdr:to>
    <xdr:sp macro="" textlink="">
      <xdr:nvSpPr>
        <xdr:cNvPr id="187" name="AutoShape 206" descr="+">
          <a:extLst>
            <a:ext uri="{FF2B5EF4-FFF2-40B4-BE49-F238E27FC236}">
              <a16:creationId xmlns:a16="http://schemas.microsoft.com/office/drawing/2014/main" id="{00000000-0008-0000-0B00-0000BB000000}"/>
            </a:ext>
          </a:extLst>
        </xdr:cNvPr>
        <xdr:cNvSpPr>
          <a:spLocks noChangeAspect="1" noChangeArrowheads="1"/>
        </xdr:cNvSpPr>
      </xdr:nvSpPr>
      <xdr:spPr bwMode="auto">
        <a:xfrm>
          <a:off x="0" y="25155525"/>
          <a:ext cx="304800" cy="17172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20011</xdr:rowOff>
    </xdr:to>
    <xdr:sp macro="" textlink="">
      <xdr:nvSpPr>
        <xdr:cNvPr id="188" name="AutoShape 207" descr="+">
          <a:extLst>
            <a:ext uri="{FF2B5EF4-FFF2-40B4-BE49-F238E27FC236}">
              <a16:creationId xmlns:a16="http://schemas.microsoft.com/office/drawing/2014/main" id="{00000000-0008-0000-0B00-0000BC000000}"/>
            </a:ext>
          </a:extLst>
        </xdr:cNvPr>
        <xdr:cNvSpPr>
          <a:spLocks noChangeAspect="1" noChangeArrowheads="1"/>
        </xdr:cNvSpPr>
      </xdr:nvSpPr>
      <xdr:spPr bwMode="auto">
        <a:xfrm>
          <a:off x="0" y="25155525"/>
          <a:ext cx="304800" cy="18193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48585</xdr:rowOff>
    </xdr:to>
    <xdr:sp macro="" textlink="">
      <xdr:nvSpPr>
        <xdr:cNvPr id="189" name="AutoShape 208" descr="+">
          <a:extLst>
            <a:ext uri="{FF2B5EF4-FFF2-40B4-BE49-F238E27FC236}">
              <a16:creationId xmlns:a16="http://schemas.microsoft.com/office/drawing/2014/main" id="{00000000-0008-0000-0B00-0000BD000000}"/>
            </a:ext>
          </a:extLst>
        </xdr:cNvPr>
        <xdr:cNvSpPr>
          <a:spLocks noChangeAspect="1" noChangeArrowheads="1"/>
        </xdr:cNvSpPr>
      </xdr:nvSpPr>
      <xdr:spPr bwMode="auto">
        <a:xfrm>
          <a:off x="0" y="2515552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48583</xdr:rowOff>
    </xdr:to>
    <xdr:sp macro="" textlink="">
      <xdr:nvSpPr>
        <xdr:cNvPr id="190" name="AutoShape 209" descr="+">
          <a:extLst>
            <a:ext uri="{FF2B5EF4-FFF2-40B4-BE49-F238E27FC236}">
              <a16:creationId xmlns:a16="http://schemas.microsoft.com/office/drawing/2014/main" id="{00000000-0008-0000-0B00-0000BE000000}"/>
            </a:ext>
          </a:extLst>
        </xdr:cNvPr>
        <xdr:cNvSpPr>
          <a:spLocks noChangeAspect="1" noChangeArrowheads="1"/>
        </xdr:cNvSpPr>
      </xdr:nvSpPr>
      <xdr:spPr bwMode="auto">
        <a:xfrm>
          <a:off x="0" y="25155525"/>
          <a:ext cx="304800" cy="2105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29535</xdr:rowOff>
    </xdr:to>
    <xdr:sp macro="" textlink="">
      <xdr:nvSpPr>
        <xdr:cNvPr id="191" name="AutoShape 210" descr="+">
          <a:extLst>
            <a:ext uri="{FF2B5EF4-FFF2-40B4-BE49-F238E27FC236}">
              <a16:creationId xmlns:a16="http://schemas.microsoft.com/office/drawing/2014/main" id="{00000000-0008-0000-0B00-0000BF000000}"/>
            </a:ext>
          </a:extLst>
        </xdr:cNvPr>
        <xdr:cNvSpPr>
          <a:spLocks noChangeAspect="1" noChangeArrowheads="1"/>
        </xdr:cNvSpPr>
      </xdr:nvSpPr>
      <xdr:spPr bwMode="auto">
        <a:xfrm>
          <a:off x="0" y="25155525"/>
          <a:ext cx="304800" cy="1914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142874</xdr:rowOff>
    </xdr:to>
    <xdr:sp macro="" textlink="">
      <xdr:nvSpPr>
        <xdr:cNvPr id="192" name="AutoShape 211" descr="+">
          <a:extLst>
            <a:ext uri="{FF2B5EF4-FFF2-40B4-BE49-F238E27FC236}">
              <a16:creationId xmlns:a16="http://schemas.microsoft.com/office/drawing/2014/main" id="{00000000-0008-0000-0B00-0000C0000000}"/>
            </a:ext>
          </a:extLst>
        </xdr:cNvPr>
        <xdr:cNvSpPr>
          <a:spLocks noChangeAspect="1" noChangeArrowheads="1"/>
        </xdr:cNvSpPr>
      </xdr:nvSpPr>
      <xdr:spPr bwMode="auto">
        <a:xfrm>
          <a:off x="0" y="25155525"/>
          <a:ext cx="304800" cy="30479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114904</xdr:rowOff>
    </xdr:to>
    <xdr:sp macro="" textlink="">
      <xdr:nvSpPr>
        <xdr:cNvPr id="193" name="AutoShape 212" descr="+">
          <a:extLst>
            <a:ext uri="{FF2B5EF4-FFF2-40B4-BE49-F238E27FC236}">
              <a16:creationId xmlns:a16="http://schemas.microsoft.com/office/drawing/2014/main" id="{00000000-0008-0000-0B00-0000C1000000}"/>
            </a:ext>
          </a:extLst>
        </xdr:cNvPr>
        <xdr:cNvSpPr>
          <a:spLocks noChangeAspect="1" noChangeArrowheads="1"/>
        </xdr:cNvSpPr>
      </xdr:nvSpPr>
      <xdr:spPr bwMode="auto">
        <a:xfrm>
          <a:off x="0" y="25155525"/>
          <a:ext cx="304800" cy="27682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11205</xdr:rowOff>
    </xdr:to>
    <xdr:sp macro="" textlink="">
      <xdr:nvSpPr>
        <xdr:cNvPr id="194" name="AutoShape 213" descr="+">
          <a:extLst>
            <a:ext uri="{FF2B5EF4-FFF2-40B4-BE49-F238E27FC236}">
              <a16:creationId xmlns:a16="http://schemas.microsoft.com/office/drawing/2014/main" id="{00000000-0008-0000-0B00-0000C2000000}"/>
            </a:ext>
          </a:extLst>
        </xdr:cNvPr>
        <xdr:cNvSpPr>
          <a:spLocks noChangeAspect="1" noChangeArrowheads="1"/>
        </xdr:cNvSpPr>
      </xdr:nvSpPr>
      <xdr:spPr bwMode="auto">
        <a:xfrm>
          <a:off x="0" y="25155525"/>
          <a:ext cx="304800" cy="1731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48584</xdr:rowOff>
    </xdr:to>
    <xdr:sp macro="" textlink="">
      <xdr:nvSpPr>
        <xdr:cNvPr id="195" name="AutoShape 214" descr="+">
          <a:extLst>
            <a:ext uri="{FF2B5EF4-FFF2-40B4-BE49-F238E27FC236}">
              <a16:creationId xmlns:a16="http://schemas.microsoft.com/office/drawing/2014/main" id="{00000000-0008-0000-0B00-0000C3000000}"/>
            </a:ext>
          </a:extLst>
        </xdr:cNvPr>
        <xdr:cNvSpPr>
          <a:spLocks noChangeAspect="1" noChangeArrowheads="1"/>
        </xdr:cNvSpPr>
      </xdr:nvSpPr>
      <xdr:spPr bwMode="auto">
        <a:xfrm>
          <a:off x="0" y="25155525"/>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48586</xdr:rowOff>
    </xdr:to>
    <xdr:sp macro="" textlink="">
      <xdr:nvSpPr>
        <xdr:cNvPr id="196" name="AutoShape 215" descr="+">
          <a:extLst>
            <a:ext uri="{FF2B5EF4-FFF2-40B4-BE49-F238E27FC236}">
              <a16:creationId xmlns:a16="http://schemas.microsoft.com/office/drawing/2014/main" id="{00000000-0008-0000-0B00-0000C4000000}"/>
            </a:ext>
          </a:extLst>
        </xdr:cNvPr>
        <xdr:cNvSpPr>
          <a:spLocks noChangeAspect="1" noChangeArrowheads="1"/>
        </xdr:cNvSpPr>
      </xdr:nvSpPr>
      <xdr:spPr bwMode="auto">
        <a:xfrm>
          <a:off x="0" y="2515552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41164</xdr:rowOff>
    </xdr:to>
    <xdr:sp macro="" textlink="">
      <xdr:nvSpPr>
        <xdr:cNvPr id="197" name="AutoShape 216" descr="+">
          <a:extLst>
            <a:ext uri="{FF2B5EF4-FFF2-40B4-BE49-F238E27FC236}">
              <a16:creationId xmlns:a16="http://schemas.microsoft.com/office/drawing/2014/main" id="{00000000-0008-0000-0B00-0000C5000000}"/>
            </a:ext>
          </a:extLst>
        </xdr:cNvPr>
        <xdr:cNvSpPr>
          <a:spLocks noChangeAspect="1" noChangeArrowheads="1"/>
        </xdr:cNvSpPr>
      </xdr:nvSpPr>
      <xdr:spPr bwMode="auto">
        <a:xfrm>
          <a:off x="0" y="25155525"/>
          <a:ext cx="304800" cy="20308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9804</xdr:rowOff>
    </xdr:to>
    <xdr:sp macro="" textlink="">
      <xdr:nvSpPr>
        <xdr:cNvPr id="198" name="AutoShape 217" descr="+">
          <a:extLst>
            <a:ext uri="{FF2B5EF4-FFF2-40B4-BE49-F238E27FC236}">
              <a16:creationId xmlns:a16="http://schemas.microsoft.com/office/drawing/2014/main" id="{00000000-0008-0000-0B00-0000C6000000}"/>
            </a:ext>
          </a:extLst>
        </xdr:cNvPr>
        <xdr:cNvSpPr>
          <a:spLocks noChangeAspect="1" noChangeArrowheads="1"/>
        </xdr:cNvSpPr>
      </xdr:nvSpPr>
      <xdr:spPr bwMode="auto">
        <a:xfrm>
          <a:off x="0" y="25155525"/>
          <a:ext cx="304800" cy="17172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9805</xdr:rowOff>
    </xdr:to>
    <xdr:sp macro="" textlink="">
      <xdr:nvSpPr>
        <xdr:cNvPr id="199" name="AutoShape 218" descr="+">
          <a:extLst>
            <a:ext uri="{FF2B5EF4-FFF2-40B4-BE49-F238E27FC236}">
              <a16:creationId xmlns:a16="http://schemas.microsoft.com/office/drawing/2014/main" id="{00000000-0008-0000-0B00-0000C7000000}"/>
            </a:ext>
          </a:extLst>
        </xdr:cNvPr>
        <xdr:cNvSpPr>
          <a:spLocks noChangeAspect="1" noChangeArrowheads="1"/>
        </xdr:cNvSpPr>
      </xdr:nvSpPr>
      <xdr:spPr bwMode="auto">
        <a:xfrm>
          <a:off x="0" y="25155525"/>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24771</xdr:rowOff>
    </xdr:to>
    <xdr:sp macro="" textlink="">
      <xdr:nvSpPr>
        <xdr:cNvPr id="200" name="AutoShape 219" descr="+">
          <a:extLst>
            <a:ext uri="{FF2B5EF4-FFF2-40B4-BE49-F238E27FC236}">
              <a16:creationId xmlns:a16="http://schemas.microsoft.com/office/drawing/2014/main" id="{00000000-0008-0000-0B00-0000C8000000}"/>
            </a:ext>
          </a:extLst>
        </xdr:cNvPr>
        <xdr:cNvSpPr>
          <a:spLocks noChangeAspect="1" noChangeArrowheads="1"/>
        </xdr:cNvSpPr>
      </xdr:nvSpPr>
      <xdr:spPr bwMode="auto">
        <a:xfrm>
          <a:off x="0" y="25155525"/>
          <a:ext cx="304800" cy="18669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9805</xdr:rowOff>
    </xdr:to>
    <xdr:sp macro="" textlink="">
      <xdr:nvSpPr>
        <xdr:cNvPr id="201" name="AutoShape 220" descr="+">
          <a:extLst>
            <a:ext uri="{FF2B5EF4-FFF2-40B4-BE49-F238E27FC236}">
              <a16:creationId xmlns:a16="http://schemas.microsoft.com/office/drawing/2014/main" id="{00000000-0008-0000-0B00-0000C9000000}"/>
            </a:ext>
          </a:extLst>
        </xdr:cNvPr>
        <xdr:cNvSpPr>
          <a:spLocks noChangeAspect="1" noChangeArrowheads="1"/>
        </xdr:cNvSpPr>
      </xdr:nvSpPr>
      <xdr:spPr bwMode="auto">
        <a:xfrm>
          <a:off x="0" y="25155525"/>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48586</xdr:rowOff>
    </xdr:to>
    <xdr:sp macro="" textlink="">
      <xdr:nvSpPr>
        <xdr:cNvPr id="202" name="AutoShape 221" descr="+">
          <a:extLst>
            <a:ext uri="{FF2B5EF4-FFF2-40B4-BE49-F238E27FC236}">
              <a16:creationId xmlns:a16="http://schemas.microsoft.com/office/drawing/2014/main" id="{00000000-0008-0000-0B00-0000CA000000}"/>
            </a:ext>
          </a:extLst>
        </xdr:cNvPr>
        <xdr:cNvSpPr>
          <a:spLocks noChangeAspect="1" noChangeArrowheads="1"/>
        </xdr:cNvSpPr>
      </xdr:nvSpPr>
      <xdr:spPr bwMode="auto">
        <a:xfrm>
          <a:off x="0" y="2515552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48586</xdr:rowOff>
    </xdr:to>
    <xdr:sp macro="" textlink="">
      <xdr:nvSpPr>
        <xdr:cNvPr id="203" name="AutoShape 222" descr="+">
          <a:extLst>
            <a:ext uri="{FF2B5EF4-FFF2-40B4-BE49-F238E27FC236}">
              <a16:creationId xmlns:a16="http://schemas.microsoft.com/office/drawing/2014/main" id="{00000000-0008-0000-0B00-0000CB000000}"/>
            </a:ext>
          </a:extLst>
        </xdr:cNvPr>
        <xdr:cNvSpPr>
          <a:spLocks noChangeAspect="1" noChangeArrowheads="1"/>
        </xdr:cNvSpPr>
      </xdr:nvSpPr>
      <xdr:spPr bwMode="auto">
        <a:xfrm>
          <a:off x="0" y="2515552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48584</xdr:rowOff>
    </xdr:to>
    <xdr:sp macro="" textlink="">
      <xdr:nvSpPr>
        <xdr:cNvPr id="204" name="AutoShape 223" descr="+">
          <a:extLst>
            <a:ext uri="{FF2B5EF4-FFF2-40B4-BE49-F238E27FC236}">
              <a16:creationId xmlns:a16="http://schemas.microsoft.com/office/drawing/2014/main" id="{00000000-0008-0000-0B00-0000CC000000}"/>
            </a:ext>
          </a:extLst>
        </xdr:cNvPr>
        <xdr:cNvSpPr>
          <a:spLocks noChangeAspect="1" noChangeArrowheads="1"/>
        </xdr:cNvSpPr>
      </xdr:nvSpPr>
      <xdr:spPr bwMode="auto">
        <a:xfrm>
          <a:off x="0" y="25155525"/>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48584</xdr:rowOff>
    </xdr:to>
    <xdr:sp macro="" textlink="">
      <xdr:nvSpPr>
        <xdr:cNvPr id="205" name="AutoShape 224" descr="+">
          <a:extLst>
            <a:ext uri="{FF2B5EF4-FFF2-40B4-BE49-F238E27FC236}">
              <a16:creationId xmlns:a16="http://schemas.microsoft.com/office/drawing/2014/main" id="{00000000-0008-0000-0B00-0000CD000000}"/>
            </a:ext>
          </a:extLst>
        </xdr:cNvPr>
        <xdr:cNvSpPr>
          <a:spLocks noChangeAspect="1" noChangeArrowheads="1"/>
        </xdr:cNvSpPr>
      </xdr:nvSpPr>
      <xdr:spPr bwMode="auto">
        <a:xfrm>
          <a:off x="0" y="25155525"/>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29534</xdr:rowOff>
    </xdr:to>
    <xdr:sp macro="" textlink="">
      <xdr:nvSpPr>
        <xdr:cNvPr id="206" name="AutoShape 225" descr="+">
          <a:extLst>
            <a:ext uri="{FF2B5EF4-FFF2-40B4-BE49-F238E27FC236}">
              <a16:creationId xmlns:a16="http://schemas.microsoft.com/office/drawing/2014/main" id="{00000000-0008-0000-0B00-0000CE000000}"/>
            </a:ext>
          </a:extLst>
        </xdr:cNvPr>
        <xdr:cNvSpPr>
          <a:spLocks noChangeAspect="1" noChangeArrowheads="1"/>
        </xdr:cNvSpPr>
      </xdr:nvSpPr>
      <xdr:spPr bwMode="auto">
        <a:xfrm>
          <a:off x="0" y="25155525"/>
          <a:ext cx="304800" cy="191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142876</xdr:rowOff>
    </xdr:to>
    <xdr:sp macro="" textlink="">
      <xdr:nvSpPr>
        <xdr:cNvPr id="207" name="AutoShape 226" descr="+">
          <a:extLst>
            <a:ext uri="{FF2B5EF4-FFF2-40B4-BE49-F238E27FC236}">
              <a16:creationId xmlns:a16="http://schemas.microsoft.com/office/drawing/2014/main" id="{00000000-0008-0000-0B00-0000CF000000}"/>
            </a:ext>
          </a:extLst>
        </xdr:cNvPr>
        <xdr:cNvSpPr>
          <a:spLocks noChangeAspect="1" noChangeArrowheads="1"/>
        </xdr:cNvSpPr>
      </xdr:nvSpPr>
      <xdr:spPr bwMode="auto">
        <a:xfrm>
          <a:off x="0" y="25155525"/>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48584</xdr:rowOff>
    </xdr:to>
    <xdr:sp macro="" textlink="">
      <xdr:nvSpPr>
        <xdr:cNvPr id="208" name="AutoShape 227" descr="+">
          <a:extLst>
            <a:ext uri="{FF2B5EF4-FFF2-40B4-BE49-F238E27FC236}">
              <a16:creationId xmlns:a16="http://schemas.microsoft.com/office/drawing/2014/main" id="{00000000-0008-0000-0B00-0000D0000000}"/>
            </a:ext>
          </a:extLst>
        </xdr:cNvPr>
        <xdr:cNvSpPr>
          <a:spLocks noChangeAspect="1" noChangeArrowheads="1"/>
        </xdr:cNvSpPr>
      </xdr:nvSpPr>
      <xdr:spPr bwMode="auto">
        <a:xfrm>
          <a:off x="0" y="25155525"/>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48585</xdr:rowOff>
    </xdr:to>
    <xdr:sp macro="" textlink="">
      <xdr:nvSpPr>
        <xdr:cNvPr id="209" name="AutoShape 228" descr="+">
          <a:extLst>
            <a:ext uri="{FF2B5EF4-FFF2-40B4-BE49-F238E27FC236}">
              <a16:creationId xmlns:a16="http://schemas.microsoft.com/office/drawing/2014/main" id="{00000000-0008-0000-0B00-0000D1000000}"/>
            </a:ext>
          </a:extLst>
        </xdr:cNvPr>
        <xdr:cNvSpPr>
          <a:spLocks noChangeAspect="1" noChangeArrowheads="1"/>
        </xdr:cNvSpPr>
      </xdr:nvSpPr>
      <xdr:spPr bwMode="auto">
        <a:xfrm>
          <a:off x="0" y="2515552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144553</xdr:rowOff>
    </xdr:to>
    <xdr:sp macro="" textlink="">
      <xdr:nvSpPr>
        <xdr:cNvPr id="210" name="AutoShape 229" descr="+">
          <a:extLst>
            <a:ext uri="{FF2B5EF4-FFF2-40B4-BE49-F238E27FC236}">
              <a16:creationId xmlns:a16="http://schemas.microsoft.com/office/drawing/2014/main" id="{00000000-0008-0000-0B00-0000D2000000}"/>
            </a:ext>
          </a:extLst>
        </xdr:cNvPr>
        <xdr:cNvSpPr>
          <a:spLocks noChangeAspect="1" noChangeArrowheads="1"/>
        </xdr:cNvSpPr>
      </xdr:nvSpPr>
      <xdr:spPr bwMode="auto">
        <a:xfrm>
          <a:off x="0" y="25155525"/>
          <a:ext cx="304800" cy="30647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142875</xdr:rowOff>
    </xdr:to>
    <xdr:sp macro="" textlink="">
      <xdr:nvSpPr>
        <xdr:cNvPr id="211" name="AutoShape 230" descr="+">
          <a:extLst>
            <a:ext uri="{FF2B5EF4-FFF2-40B4-BE49-F238E27FC236}">
              <a16:creationId xmlns:a16="http://schemas.microsoft.com/office/drawing/2014/main" id="{00000000-0008-0000-0B00-0000D3000000}"/>
            </a:ext>
          </a:extLst>
        </xdr:cNvPr>
        <xdr:cNvSpPr>
          <a:spLocks noChangeAspect="1" noChangeArrowheads="1"/>
        </xdr:cNvSpPr>
      </xdr:nvSpPr>
      <xdr:spPr bwMode="auto">
        <a:xfrm>
          <a:off x="0" y="2515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9804</xdr:rowOff>
    </xdr:to>
    <xdr:sp macro="" textlink="">
      <xdr:nvSpPr>
        <xdr:cNvPr id="212" name="AutoShape 231" descr="+">
          <a:extLst>
            <a:ext uri="{FF2B5EF4-FFF2-40B4-BE49-F238E27FC236}">
              <a16:creationId xmlns:a16="http://schemas.microsoft.com/office/drawing/2014/main" id="{00000000-0008-0000-0B00-0000D4000000}"/>
            </a:ext>
          </a:extLst>
        </xdr:cNvPr>
        <xdr:cNvSpPr>
          <a:spLocks noChangeAspect="1" noChangeArrowheads="1"/>
        </xdr:cNvSpPr>
      </xdr:nvSpPr>
      <xdr:spPr bwMode="auto">
        <a:xfrm>
          <a:off x="0" y="25155525"/>
          <a:ext cx="304800" cy="17172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20012</xdr:rowOff>
    </xdr:to>
    <xdr:sp macro="" textlink="">
      <xdr:nvSpPr>
        <xdr:cNvPr id="213" name="AutoShape 232" descr="+">
          <a:extLst>
            <a:ext uri="{FF2B5EF4-FFF2-40B4-BE49-F238E27FC236}">
              <a16:creationId xmlns:a16="http://schemas.microsoft.com/office/drawing/2014/main" id="{00000000-0008-0000-0B00-0000D5000000}"/>
            </a:ext>
          </a:extLst>
        </xdr:cNvPr>
        <xdr:cNvSpPr>
          <a:spLocks noChangeAspect="1" noChangeArrowheads="1"/>
        </xdr:cNvSpPr>
      </xdr:nvSpPr>
      <xdr:spPr bwMode="auto">
        <a:xfrm>
          <a:off x="0" y="25155525"/>
          <a:ext cx="304800" cy="1819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9804</xdr:rowOff>
    </xdr:to>
    <xdr:sp macro="" textlink="">
      <xdr:nvSpPr>
        <xdr:cNvPr id="214" name="AutoShape 233" descr="+">
          <a:extLst>
            <a:ext uri="{FF2B5EF4-FFF2-40B4-BE49-F238E27FC236}">
              <a16:creationId xmlns:a16="http://schemas.microsoft.com/office/drawing/2014/main" id="{00000000-0008-0000-0B00-0000D6000000}"/>
            </a:ext>
          </a:extLst>
        </xdr:cNvPr>
        <xdr:cNvSpPr>
          <a:spLocks noChangeAspect="1" noChangeArrowheads="1"/>
        </xdr:cNvSpPr>
      </xdr:nvSpPr>
      <xdr:spPr bwMode="auto">
        <a:xfrm>
          <a:off x="0" y="25155525"/>
          <a:ext cx="304800" cy="17172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48586</xdr:rowOff>
    </xdr:to>
    <xdr:sp macro="" textlink="">
      <xdr:nvSpPr>
        <xdr:cNvPr id="215" name="AutoShape 234" descr="+">
          <a:extLst>
            <a:ext uri="{FF2B5EF4-FFF2-40B4-BE49-F238E27FC236}">
              <a16:creationId xmlns:a16="http://schemas.microsoft.com/office/drawing/2014/main" id="{00000000-0008-0000-0B00-0000D7000000}"/>
            </a:ext>
          </a:extLst>
        </xdr:cNvPr>
        <xdr:cNvSpPr>
          <a:spLocks noChangeAspect="1" noChangeArrowheads="1"/>
        </xdr:cNvSpPr>
      </xdr:nvSpPr>
      <xdr:spPr bwMode="auto">
        <a:xfrm>
          <a:off x="0" y="2515552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48583</xdr:rowOff>
    </xdr:to>
    <xdr:sp macro="" textlink="">
      <xdr:nvSpPr>
        <xdr:cNvPr id="216" name="AutoShape 235" descr="+">
          <a:extLst>
            <a:ext uri="{FF2B5EF4-FFF2-40B4-BE49-F238E27FC236}">
              <a16:creationId xmlns:a16="http://schemas.microsoft.com/office/drawing/2014/main" id="{00000000-0008-0000-0B00-0000D8000000}"/>
            </a:ext>
          </a:extLst>
        </xdr:cNvPr>
        <xdr:cNvSpPr>
          <a:spLocks noChangeAspect="1" noChangeArrowheads="1"/>
        </xdr:cNvSpPr>
      </xdr:nvSpPr>
      <xdr:spPr bwMode="auto">
        <a:xfrm>
          <a:off x="0" y="25155525"/>
          <a:ext cx="304800" cy="2105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48585</xdr:rowOff>
    </xdr:to>
    <xdr:sp macro="" textlink="">
      <xdr:nvSpPr>
        <xdr:cNvPr id="217" name="AutoShape 236" descr="+">
          <a:extLst>
            <a:ext uri="{FF2B5EF4-FFF2-40B4-BE49-F238E27FC236}">
              <a16:creationId xmlns:a16="http://schemas.microsoft.com/office/drawing/2014/main" id="{00000000-0008-0000-0B00-0000D9000000}"/>
            </a:ext>
          </a:extLst>
        </xdr:cNvPr>
        <xdr:cNvSpPr>
          <a:spLocks noChangeAspect="1" noChangeArrowheads="1"/>
        </xdr:cNvSpPr>
      </xdr:nvSpPr>
      <xdr:spPr bwMode="auto">
        <a:xfrm>
          <a:off x="0" y="2515552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9804</xdr:rowOff>
    </xdr:to>
    <xdr:sp macro="" textlink="">
      <xdr:nvSpPr>
        <xdr:cNvPr id="218" name="AutoShape 237" descr="+">
          <a:extLst>
            <a:ext uri="{FF2B5EF4-FFF2-40B4-BE49-F238E27FC236}">
              <a16:creationId xmlns:a16="http://schemas.microsoft.com/office/drawing/2014/main" id="{00000000-0008-0000-0B00-0000DA000000}"/>
            </a:ext>
          </a:extLst>
        </xdr:cNvPr>
        <xdr:cNvSpPr>
          <a:spLocks noChangeAspect="1" noChangeArrowheads="1"/>
        </xdr:cNvSpPr>
      </xdr:nvSpPr>
      <xdr:spPr bwMode="auto">
        <a:xfrm>
          <a:off x="0" y="25155525"/>
          <a:ext cx="304800" cy="17172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48588</xdr:rowOff>
    </xdr:to>
    <xdr:sp macro="" textlink="">
      <xdr:nvSpPr>
        <xdr:cNvPr id="219" name="AutoShape 238" descr="+">
          <a:extLst>
            <a:ext uri="{FF2B5EF4-FFF2-40B4-BE49-F238E27FC236}">
              <a16:creationId xmlns:a16="http://schemas.microsoft.com/office/drawing/2014/main" id="{00000000-0008-0000-0B00-0000DB000000}"/>
            </a:ext>
          </a:extLst>
        </xdr:cNvPr>
        <xdr:cNvSpPr>
          <a:spLocks noChangeAspect="1" noChangeArrowheads="1"/>
        </xdr:cNvSpPr>
      </xdr:nvSpPr>
      <xdr:spPr bwMode="auto">
        <a:xfrm>
          <a:off x="0" y="25155525"/>
          <a:ext cx="304800" cy="2105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48583</xdr:rowOff>
    </xdr:to>
    <xdr:sp macro="" textlink="">
      <xdr:nvSpPr>
        <xdr:cNvPr id="220" name="AutoShape 239" descr="+">
          <a:extLst>
            <a:ext uri="{FF2B5EF4-FFF2-40B4-BE49-F238E27FC236}">
              <a16:creationId xmlns:a16="http://schemas.microsoft.com/office/drawing/2014/main" id="{00000000-0008-0000-0B00-0000DC000000}"/>
            </a:ext>
          </a:extLst>
        </xdr:cNvPr>
        <xdr:cNvSpPr>
          <a:spLocks noChangeAspect="1" noChangeArrowheads="1"/>
        </xdr:cNvSpPr>
      </xdr:nvSpPr>
      <xdr:spPr bwMode="auto">
        <a:xfrm>
          <a:off x="0" y="25155525"/>
          <a:ext cx="304800" cy="2105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48585</xdr:rowOff>
    </xdr:to>
    <xdr:sp macro="" textlink="">
      <xdr:nvSpPr>
        <xdr:cNvPr id="221" name="AutoShape 240" descr="+">
          <a:extLst>
            <a:ext uri="{FF2B5EF4-FFF2-40B4-BE49-F238E27FC236}">
              <a16:creationId xmlns:a16="http://schemas.microsoft.com/office/drawing/2014/main" id="{00000000-0008-0000-0B00-0000DD000000}"/>
            </a:ext>
          </a:extLst>
        </xdr:cNvPr>
        <xdr:cNvSpPr>
          <a:spLocks noChangeAspect="1" noChangeArrowheads="1"/>
        </xdr:cNvSpPr>
      </xdr:nvSpPr>
      <xdr:spPr bwMode="auto">
        <a:xfrm>
          <a:off x="0" y="2515552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48584</xdr:rowOff>
    </xdr:to>
    <xdr:sp macro="" textlink="">
      <xdr:nvSpPr>
        <xdr:cNvPr id="222" name="AutoShape 241" descr="+">
          <a:extLst>
            <a:ext uri="{FF2B5EF4-FFF2-40B4-BE49-F238E27FC236}">
              <a16:creationId xmlns:a16="http://schemas.microsoft.com/office/drawing/2014/main" id="{00000000-0008-0000-0B00-0000DE000000}"/>
            </a:ext>
          </a:extLst>
        </xdr:cNvPr>
        <xdr:cNvSpPr>
          <a:spLocks noChangeAspect="1" noChangeArrowheads="1"/>
        </xdr:cNvSpPr>
      </xdr:nvSpPr>
      <xdr:spPr bwMode="auto">
        <a:xfrm>
          <a:off x="0" y="25155525"/>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24772</xdr:rowOff>
    </xdr:to>
    <xdr:sp macro="" textlink="">
      <xdr:nvSpPr>
        <xdr:cNvPr id="223" name="AutoShape 242" descr="+">
          <a:extLst>
            <a:ext uri="{FF2B5EF4-FFF2-40B4-BE49-F238E27FC236}">
              <a16:creationId xmlns:a16="http://schemas.microsoft.com/office/drawing/2014/main" id="{00000000-0008-0000-0B00-0000DF000000}"/>
            </a:ext>
          </a:extLst>
        </xdr:cNvPr>
        <xdr:cNvSpPr>
          <a:spLocks noChangeAspect="1" noChangeArrowheads="1"/>
        </xdr:cNvSpPr>
      </xdr:nvSpPr>
      <xdr:spPr bwMode="auto">
        <a:xfrm>
          <a:off x="0" y="25155525"/>
          <a:ext cx="304800" cy="18669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48586</xdr:rowOff>
    </xdr:to>
    <xdr:sp macro="" textlink="">
      <xdr:nvSpPr>
        <xdr:cNvPr id="224" name="AutoShape 243" descr="+">
          <a:extLst>
            <a:ext uri="{FF2B5EF4-FFF2-40B4-BE49-F238E27FC236}">
              <a16:creationId xmlns:a16="http://schemas.microsoft.com/office/drawing/2014/main" id="{00000000-0008-0000-0B00-0000E0000000}"/>
            </a:ext>
          </a:extLst>
        </xdr:cNvPr>
        <xdr:cNvSpPr>
          <a:spLocks noChangeAspect="1" noChangeArrowheads="1"/>
        </xdr:cNvSpPr>
      </xdr:nvSpPr>
      <xdr:spPr bwMode="auto">
        <a:xfrm>
          <a:off x="0" y="2515552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48585</xdr:rowOff>
    </xdr:to>
    <xdr:sp macro="" textlink="">
      <xdr:nvSpPr>
        <xdr:cNvPr id="225" name="AutoShape 244" descr="+">
          <a:extLst>
            <a:ext uri="{FF2B5EF4-FFF2-40B4-BE49-F238E27FC236}">
              <a16:creationId xmlns:a16="http://schemas.microsoft.com/office/drawing/2014/main" id="{00000000-0008-0000-0B00-0000E1000000}"/>
            </a:ext>
          </a:extLst>
        </xdr:cNvPr>
        <xdr:cNvSpPr>
          <a:spLocks noChangeAspect="1" noChangeArrowheads="1"/>
        </xdr:cNvSpPr>
      </xdr:nvSpPr>
      <xdr:spPr bwMode="auto">
        <a:xfrm>
          <a:off x="0" y="2515552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48584</xdr:rowOff>
    </xdr:to>
    <xdr:sp macro="" textlink="">
      <xdr:nvSpPr>
        <xdr:cNvPr id="226" name="AutoShape 245" descr="+">
          <a:extLst>
            <a:ext uri="{FF2B5EF4-FFF2-40B4-BE49-F238E27FC236}">
              <a16:creationId xmlns:a16="http://schemas.microsoft.com/office/drawing/2014/main" id="{00000000-0008-0000-0B00-0000E2000000}"/>
            </a:ext>
          </a:extLst>
        </xdr:cNvPr>
        <xdr:cNvSpPr>
          <a:spLocks noChangeAspect="1" noChangeArrowheads="1"/>
        </xdr:cNvSpPr>
      </xdr:nvSpPr>
      <xdr:spPr bwMode="auto">
        <a:xfrm>
          <a:off x="0" y="25155525"/>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14566</xdr:rowOff>
    </xdr:to>
    <xdr:sp macro="" textlink="">
      <xdr:nvSpPr>
        <xdr:cNvPr id="227" name="AutoShape 246" descr="+">
          <a:extLst>
            <a:ext uri="{FF2B5EF4-FFF2-40B4-BE49-F238E27FC236}">
              <a16:creationId xmlns:a16="http://schemas.microsoft.com/office/drawing/2014/main" id="{00000000-0008-0000-0B00-0000E3000000}"/>
            </a:ext>
          </a:extLst>
        </xdr:cNvPr>
        <xdr:cNvSpPr>
          <a:spLocks noChangeAspect="1" noChangeArrowheads="1"/>
        </xdr:cNvSpPr>
      </xdr:nvSpPr>
      <xdr:spPr bwMode="auto">
        <a:xfrm>
          <a:off x="0" y="25155525"/>
          <a:ext cx="304800" cy="17649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9805</xdr:rowOff>
    </xdr:to>
    <xdr:sp macro="" textlink="">
      <xdr:nvSpPr>
        <xdr:cNvPr id="228" name="AutoShape 247" descr="+">
          <a:extLst>
            <a:ext uri="{FF2B5EF4-FFF2-40B4-BE49-F238E27FC236}">
              <a16:creationId xmlns:a16="http://schemas.microsoft.com/office/drawing/2014/main" id="{00000000-0008-0000-0B00-0000E4000000}"/>
            </a:ext>
          </a:extLst>
        </xdr:cNvPr>
        <xdr:cNvSpPr>
          <a:spLocks noChangeAspect="1" noChangeArrowheads="1"/>
        </xdr:cNvSpPr>
      </xdr:nvSpPr>
      <xdr:spPr bwMode="auto">
        <a:xfrm>
          <a:off x="0" y="25155525"/>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20012</xdr:rowOff>
    </xdr:to>
    <xdr:sp macro="" textlink="">
      <xdr:nvSpPr>
        <xdr:cNvPr id="229" name="AutoShape 248" descr="+">
          <a:extLst>
            <a:ext uri="{FF2B5EF4-FFF2-40B4-BE49-F238E27FC236}">
              <a16:creationId xmlns:a16="http://schemas.microsoft.com/office/drawing/2014/main" id="{00000000-0008-0000-0B00-0000E5000000}"/>
            </a:ext>
          </a:extLst>
        </xdr:cNvPr>
        <xdr:cNvSpPr>
          <a:spLocks noChangeAspect="1" noChangeArrowheads="1"/>
        </xdr:cNvSpPr>
      </xdr:nvSpPr>
      <xdr:spPr bwMode="auto">
        <a:xfrm>
          <a:off x="0" y="25155525"/>
          <a:ext cx="304800" cy="1819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9805</xdr:rowOff>
    </xdr:to>
    <xdr:sp macro="" textlink="">
      <xdr:nvSpPr>
        <xdr:cNvPr id="230" name="AutoShape 249" descr="+">
          <a:extLst>
            <a:ext uri="{FF2B5EF4-FFF2-40B4-BE49-F238E27FC236}">
              <a16:creationId xmlns:a16="http://schemas.microsoft.com/office/drawing/2014/main" id="{00000000-0008-0000-0B00-0000E6000000}"/>
            </a:ext>
          </a:extLst>
        </xdr:cNvPr>
        <xdr:cNvSpPr>
          <a:spLocks noChangeAspect="1" noChangeArrowheads="1"/>
        </xdr:cNvSpPr>
      </xdr:nvSpPr>
      <xdr:spPr bwMode="auto">
        <a:xfrm>
          <a:off x="0" y="25155525"/>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48584</xdr:rowOff>
    </xdr:to>
    <xdr:sp macro="" textlink="">
      <xdr:nvSpPr>
        <xdr:cNvPr id="231" name="AutoShape 250" descr="+">
          <a:extLst>
            <a:ext uri="{FF2B5EF4-FFF2-40B4-BE49-F238E27FC236}">
              <a16:creationId xmlns:a16="http://schemas.microsoft.com/office/drawing/2014/main" id="{00000000-0008-0000-0B00-0000E7000000}"/>
            </a:ext>
          </a:extLst>
        </xdr:cNvPr>
        <xdr:cNvSpPr>
          <a:spLocks noChangeAspect="1" noChangeArrowheads="1"/>
        </xdr:cNvSpPr>
      </xdr:nvSpPr>
      <xdr:spPr bwMode="auto">
        <a:xfrm>
          <a:off x="0" y="25155525"/>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48585</xdr:rowOff>
    </xdr:to>
    <xdr:sp macro="" textlink="">
      <xdr:nvSpPr>
        <xdr:cNvPr id="232" name="AutoShape 251" descr="+">
          <a:extLst>
            <a:ext uri="{FF2B5EF4-FFF2-40B4-BE49-F238E27FC236}">
              <a16:creationId xmlns:a16="http://schemas.microsoft.com/office/drawing/2014/main" id="{00000000-0008-0000-0B00-0000E8000000}"/>
            </a:ext>
          </a:extLst>
        </xdr:cNvPr>
        <xdr:cNvSpPr>
          <a:spLocks noChangeAspect="1" noChangeArrowheads="1"/>
        </xdr:cNvSpPr>
      </xdr:nvSpPr>
      <xdr:spPr bwMode="auto">
        <a:xfrm>
          <a:off x="0" y="2515552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48583</xdr:rowOff>
    </xdr:to>
    <xdr:sp macro="" textlink="">
      <xdr:nvSpPr>
        <xdr:cNvPr id="233" name="AutoShape 252" descr="+">
          <a:extLst>
            <a:ext uri="{FF2B5EF4-FFF2-40B4-BE49-F238E27FC236}">
              <a16:creationId xmlns:a16="http://schemas.microsoft.com/office/drawing/2014/main" id="{00000000-0008-0000-0B00-0000E9000000}"/>
            </a:ext>
          </a:extLst>
        </xdr:cNvPr>
        <xdr:cNvSpPr>
          <a:spLocks noChangeAspect="1" noChangeArrowheads="1"/>
        </xdr:cNvSpPr>
      </xdr:nvSpPr>
      <xdr:spPr bwMode="auto">
        <a:xfrm>
          <a:off x="0" y="25155525"/>
          <a:ext cx="304800" cy="2105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20011</xdr:rowOff>
    </xdr:to>
    <xdr:sp macro="" textlink="">
      <xdr:nvSpPr>
        <xdr:cNvPr id="234" name="AutoShape 253" descr="+">
          <a:extLst>
            <a:ext uri="{FF2B5EF4-FFF2-40B4-BE49-F238E27FC236}">
              <a16:creationId xmlns:a16="http://schemas.microsoft.com/office/drawing/2014/main" id="{00000000-0008-0000-0B00-0000EA000000}"/>
            </a:ext>
          </a:extLst>
        </xdr:cNvPr>
        <xdr:cNvSpPr>
          <a:spLocks noChangeAspect="1" noChangeArrowheads="1"/>
        </xdr:cNvSpPr>
      </xdr:nvSpPr>
      <xdr:spPr bwMode="auto">
        <a:xfrm>
          <a:off x="0" y="25155525"/>
          <a:ext cx="304800" cy="18193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48585</xdr:rowOff>
    </xdr:to>
    <xdr:sp macro="" textlink="">
      <xdr:nvSpPr>
        <xdr:cNvPr id="235" name="AutoShape 254" descr="+">
          <a:extLst>
            <a:ext uri="{FF2B5EF4-FFF2-40B4-BE49-F238E27FC236}">
              <a16:creationId xmlns:a16="http://schemas.microsoft.com/office/drawing/2014/main" id="{00000000-0008-0000-0B00-0000EB000000}"/>
            </a:ext>
          </a:extLst>
        </xdr:cNvPr>
        <xdr:cNvSpPr>
          <a:spLocks noChangeAspect="1" noChangeArrowheads="1"/>
        </xdr:cNvSpPr>
      </xdr:nvSpPr>
      <xdr:spPr bwMode="auto">
        <a:xfrm>
          <a:off x="0" y="2515552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48585</xdr:rowOff>
    </xdr:to>
    <xdr:sp macro="" textlink="">
      <xdr:nvSpPr>
        <xdr:cNvPr id="236" name="AutoShape 255" descr="+">
          <a:extLst>
            <a:ext uri="{FF2B5EF4-FFF2-40B4-BE49-F238E27FC236}">
              <a16:creationId xmlns:a16="http://schemas.microsoft.com/office/drawing/2014/main" id="{00000000-0008-0000-0B00-0000EC000000}"/>
            </a:ext>
          </a:extLst>
        </xdr:cNvPr>
        <xdr:cNvSpPr>
          <a:spLocks noChangeAspect="1" noChangeArrowheads="1"/>
        </xdr:cNvSpPr>
      </xdr:nvSpPr>
      <xdr:spPr bwMode="auto">
        <a:xfrm>
          <a:off x="0" y="2515552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48584</xdr:rowOff>
    </xdr:to>
    <xdr:sp macro="" textlink="">
      <xdr:nvSpPr>
        <xdr:cNvPr id="237" name="AutoShape 256" descr="+">
          <a:extLst>
            <a:ext uri="{FF2B5EF4-FFF2-40B4-BE49-F238E27FC236}">
              <a16:creationId xmlns:a16="http://schemas.microsoft.com/office/drawing/2014/main" id="{00000000-0008-0000-0B00-0000ED000000}"/>
            </a:ext>
          </a:extLst>
        </xdr:cNvPr>
        <xdr:cNvSpPr>
          <a:spLocks noChangeAspect="1" noChangeArrowheads="1"/>
        </xdr:cNvSpPr>
      </xdr:nvSpPr>
      <xdr:spPr bwMode="auto">
        <a:xfrm>
          <a:off x="0" y="25155525"/>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48586</xdr:rowOff>
    </xdr:to>
    <xdr:sp macro="" textlink="">
      <xdr:nvSpPr>
        <xdr:cNvPr id="238" name="AutoShape 257" descr="+">
          <a:extLst>
            <a:ext uri="{FF2B5EF4-FFF2-40B4-BE49-F238E27FC236}">
              <a16:creationId xmlns:a16="http://schemas.microsoft.com/office/drawing/2014/main" id="{00000000-0008-0000-0B00-0000EE000000}"/>
            </a:ext>
          </a:extLst>
        </xdr:cNvPr>
        <xdr:cNvSpPr>
          <a:spLocks noChangeAspect="1" noChangeArrowheads="1"/>
        </xdr:cNvSpPr>
      </xdr:nvSpPr>
      <xdr:spPr bwMode="auto">
        <a:xfrm>
          <a:off x="0" y="2515552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109817</xdr:rowOff>
    </xdr:to>
    <xdr:sp macro="" textlink="">
      <xdr:nvSpPr>
        <xdr:cNvPr id="239" name="AutoShape 258" descr="+">
          <a:extLst>
            <a:ext uri="{FF2B5EF4-FFF2-40B4-BE49-F238E27FC236}">
              <a16:creationId xmlns:a16="http://schemas.microsoft.com/office/drawing/2014/main" id="{00000000-0008-0000-0B00-0000EF000000}"/>
            </a:ext>
          </a:extLst>
        </xdr:cNvPr>
        <xdr:cNvSpPr>
          <a:spLocks noChangeAspect="1" noChangeArrowheads="1"/>
        </xdr:cNvSpPr>
      </xdr:nvSpPr>
      <xdr:spPr bwMode="auto">
        <a:xfrm>
          <a:off x="0" y="25155525"/>
          <a:ext cx="304800" cy="27174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20011</xdr:rowOff>
    </xdr:to>
    <xdr:sp macro="" textlink="">
      <xdr:nvSpPr>
        <xdr:cNvPr id="240" name="AutoShape 259" descr="+">
          <a:extLst>
            <a:ext uri="{FF2B5EF4-FFF2-40B4-BE49-F238E27FC236}">
              <a16:creationId xmlns:a16="http://schemas.microsoft.com/office/drawing/2014/main" id="{00000000-0008-0000-0B00-0000F0000000}"/>
            </a:ext>
          </a:extLst>
        </xdr:cNvPr>
        <xdr:cNvSpPr>
          <a:spLocks noChangeAspect="1" noChangeArrowheads="1"/>
        </xdr:cNvSpPr>
      </xdr:nvSpPr>
      <xdr:spPr bwMode="auto">
        <a:xfrm>
          <a:off x="0" y="25155525"/>
          <a:ext cx="304800" cy="18193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142875</xdr:rowOff>
    </xdr:to>
    <xdr:sp macro="" textlink="">
      <xdr:nvSpPr>
        <xdr:cNvPr id="241" name="AutoShape 260" descr="+">
          <a:extLst>
            <a:ext uri="{FF2B5EF4-FFF2-40B4-BE49-F238E27FC236}">
              <a16:creationId xmlns:a16="http://schemas.microsoft.com/office/drawing/2014/main" id="{00000000-0008-0000-0B00-0000F1000000}"/>
            </a:ext>
          </a:extLst>
        </xdr:cNvPr>
        <xdr:cNvSpPr>
          <a:spLocks noChangeAspect="1" noChangeArrowheads="1"/>
        </xdr:cNvSpPr>
      </xdr:nvSpPr>
      <xdr:spPr bwMode="auto">
        <a:xfrm>
          <a:off x="0" y="2515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48584</xdr:rowOff>
    </xdr:to>
    <xdr:sp macro="" textlink="">
      <xdr:nvSpPr>
        <xdr:cNvPr id="242" name="AutoShape 261" descr="+">
          <a:extLst>
            <a:ext uri="{FF2B5EF4-FFF2-40B4-BE49-F238E27FC236}">
              <a16:creationId xmlns:a16="http://schemas.microsoft.com/office/drawing/2014/main" id="{00000000-0008-0000-0B00-0000F2000000}"/>
            </a:ext>
          </a:extLst>
        </xdr:cNvPr>
        <xdr:cNvSpPr>
          <a:spLocks noChangeAspect="1" noChangeArrowheads="1"/>
        </xdr:cNvSpPr>
      </xdr:nvSpPr>
      <xdr:spPr bwMode="auto">
        <a:xfrm>
          <a:off x="0" y="25155525"/>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48586</xdr:rowOff>
    </xdr:to>
    <xdr:sp macro="" textlink="">
      <xdr:nvSpPr>
        <xdr:cNvPr id="243" name="AutoShape 262" descr="+">
          <a:extLst>
            <a:ext uri="{FF2B5EF4-FFF2-40B4-BE49-F238E27FC236}">
              <a16:creationId xmlns:a16="http://schemas.microsoft.com/office/drawing/2014/main" id="{00000000-0008-0000-0B00-0000F3000000}"/>
            </a:ext>
          </a:extLst>
        </xdr:cNvPr>
        <xdr:cNvSpPr>
          <a:spLocks noChangeAspect="1" noChangeArrowheads="1"/>
        </xdr:cNvSpPr>
      </xdr:nvSpPr>
      <xdr:spPr bwMode="auto">
        <a:xfrm>
          <a:off x="0" y="2515552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3403</xdr:rowOff>
    </xdr:to>
    <xdr:sp macro="" textlink="">
      <xdr:nvSpPr>
        <xdr:cNvPr id="244" name="AutoShape 263" descr="+">
          <a:extLst>
            <a:ext uri="{FF2B5EF4-FFF2-40B4-BE49-F238E27FC236}">
              <a16:creationId xmlns:a16="http://schemas.microsoft.com/office/drawing/2014/main" id="{00000000-0008-0000-0B00-0000F4000000}"/>
            </a:ext>
          </a:extLst>
        </xdr:cNvPr>
        <xdr:cNvSpPr>
          <a:spLocks noChangeAspect="1" noChangeArrowheads="1"/>
        </xdr:cNvSpPr>
      </xdr:nvSpPr>
      <xdr:spPr bwMode="auto">
        <a:xfrm>
          <a:off x="0" y="25155525"/>
          <a:ext cx="304800" cy="16532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3402</xdr:rowOff>
    </xdr:to>
    <xdr:sp macro="" textlink="">
      <xdr:nvSpPr>
        <xdr:cNvPr id="245" name="AutoShape 264" descr="+">
          <a:extLst>
            <a:ext uri="{FF2B5EF4-FFF2-40B4-BE49-F238E27FC236}">
              <a16:creationId xmlns:a16="http://schemas.microsoft.com/office/drawing/2014/main" id="{00000000-0008-0000-0B00-0000F5000000}"/>
            </a:ext>
          </a:extLst>
        </xdr:cNvPr>
        <xdr:cNvSpPr>
          <a:spLocks noChangeAspect="1" noChangeArrowheads="1"/>
        </xdr:cNvSpPr>
      </xdr:nvSpPr>
      <xdr:spPr bwMode="auto">
        <a:xfrm>
          <a:off x="0" y="25155525"/>
          <a:ext cx="304800" cy="16532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42185</xdr:rowOff>
    </xdr:to>
    <xdr:sp macro="" textlink="">
      <xdr:nvSpPr>
        <xdr:cNvPr id="246" name="AutoShape 265" descr="+">
          <a:extLst>
            <a:ext uri="{FF2B5EF4-FFF2-40B4-BE49-F238E27FC236}">
              <a16:creationId xmlns:a16="http://schemas.microsoft.com/office/drawing/2014/main" id="{00000000-0008-0000-0B00-0000F6000000}"/>
            </a:ext>
          </a:extLst>
        </xdr:cNvPr>
        <xdr:cNvSpPr>
          <a:spLocks noChangeAspect="1" noChangeArrowheads="1"/>
        </xdr:cNvSpPr>
      </xdr:nvSpPr>
      <xdr:spPr bwMode="auto">
        <a:xfrm>
          <a:off x="0" y="25155525"/>
          <a:ext cx="304800" cy="2041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42180</xdr:rowOff>
    </xdr:to>
    <xdr:sp macro="" textlink="">
      <xdr:nvSpPr>
        <xdr:cNvPr id="247" name="AutoShape 266" descr="+">
          <a:extLst>
            <a:ext uri="{FF2B5EF4-FFF2-40B4-BE49-F238E27FC236}">
              <a16:creationId xmlns:a16="http://schemas.microsoft.com/office/drawing/2014/main" id="{00000000-0008-0000-0B00-0000F7000000}"/>
            </a:ext>
          </a:extLst>
        </xdr:cNvPr>
        <xdr:cNvSpPr>
          <a:spLocks noChangeAspect="1" noChangeArrowheads="1"/>
        </xdr:cNvSpPr>
      </xdr:nvSpPr>
      <xdr:spPr bwMode="auto">
        <a:xfrm>
          <a:off x="0" y="25155525"/>
          <a:ext cx="304800" cy="20410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42182</xdr:rowOff>
    </xdr:to>
    <xdr:sp macro="" textlink="">
      <xdr:nvSpPr>
        <xdr:cNvPr id="248" name="AutoShape 267" descr="+">
          <a:extLst>
            <a:ext uri="{FF2B5EF4-FFF2-40B4-BE49-F238E27FC236}">
              <a16:creationId xmlns:a16="http://schemas.microsoft.com/office/drawing/2014/main" id="{00000000-0008-0000-0B00-0000F8000000}"/>
            </a:ext>
          </a:extLst>
        </xdr:cNvPr>
        <xdr:cNvSpPr>
          <a:spLocks noChangeAspect="1" noChangeArrowheads="1"/>
        </xdr:cNvSpPr>
      </xdr:nvSpPr>
      <xdr:spPr bwMode="auto">
        <a:xfrm>
          <a:off x="0" y="25155525"/>
          <a:ext cx="304800" cy="2041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42185</xdr:rowOff>
    </xdr:to>
    <xdr:sp macro="" textlink="">
      <xdr:nvSpPr>
        <xdr:cNvPr id="249" name="AutoShape 268" descr="+">
          <a:extLst>
            <a:ext uri="{FF2B5EF4-FFF2-40B4-BE49-F238E27FC236}">
              <a16:creationId xmlns:a16="http://schemas.microsoft.com/office/drawing/2014/main" id="{00000000-0008-0000-0B00-0000F9000000}"/>
            </a:ext>
          </a:extLst>
        </xdr:cNvPr>
        <xdr:cNvSpPr>
          <a:spLocks noChangeAspect="1" noChangeArrowheads="1"/>
        </xdr:cNvSpPr>
      </xdr:nvSpPr>
      <xdr:spPr bwMode="auto">
        <a:xfrm>
          <a:off x="0" y="25155525"/>
          <a:ext cx="304800" cy="2041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42183</xdr:rowOff>
    </xdr:to>
    <xdr:sp macro="" textlink="">
      <xdr:nvSpPr>
        <xdr:cNvPr id="250" name="AutoShape 269" descr="+">
          <a:extLst>
            <a:ext uri="{FF2B5EF4-FFF2-40B4-BE49-F238E27FC236}">
              <a16:creationId xmlns:a16="http://schemas.microsoft.com/office/drawing/2014/main" id="{00000000-0008-0000-0B00-0000FA000000}"/>
            </a:ext>
          </a:extLst>
        </xdr:cNvPr>
        <xdr:cNvSpPr>
          <a:spLocks noChangeAspect="1" noChangeArrowheads="1"/>
        </xdr:cNvSpPr>
      </xdr:nvSpPr>
      <xdr:spPr bwMode="auto">
        <a:xfrm>
          <a:off x="0" y="25155525"/>
          <a:ext cx="304800" cy="2041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42183</xdr:rowOff>
    </xdr:to>
    <xdr:sp macro="" textlink="">
      <xdr:nvSpPr>
        <xdr:cNvPr id="251" name="AutoShape 270" descr="+">
          <a:extLst>
            <a:ext uri="{FF2B5EF4-FFF2-40B4-BE49-F238E27FC236}">
              <a16:creationId xmlns:a16="http://schemas.microsoft.com/office/drawing/2014/main" id="{00000000-0008-0000-0B00-0000FB000000}"/>
            </a:ext>
          </a:extLst>
        </xdr:cNvPr>
        <xdr:cNvSpPr>
          <a:spLocks noChangeAspect="1" noChangeArrowheads="1"/>
        </xdr:cNvSpPr>
      </xdr:nvSpPr>
      <xdr:spPr bwMode="auto">
        <a:xfrm>
          <a:off x="0" y="25155525"/>
          <a:ext cx="304800" cy="2041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146957</xdr:rowOff>
    </xdr:to>
    <xdr:sp macro="" textlink="">
      <xdr:nvSpPr>
        <xdr:cNvPr id="252" name="AutoShape 271" descr="+">
          <a:extLst>
            <a:ext uri="{FF2B5EF4-FFF2-40B4-BE49-F238E27FC236}">
              <a16:creationId xmlns:a16="http://schemas.microsoft.com/office/drawing/2014/main" id="{00000000-0008-0000-0B00-0000FC000000}"/>
            </a:ext>
          </a:extLst>
        </xdr:cNvPr>
        <xdr:cNvSpPr>
          <a:spLocks noChangeAspect="1" noChangeArrowheads="1"/>
        </xdr:cNvSpPr>
      </xdr:nvSpPr>
      <xdr:spPr bwMode="auto">
        <a:xfrm>
          <a:off x="0" y="25155525"/>
          <a:ext cx="304800" cy="30888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42183</xdr:rowOff>
    </xdr:to>
    <xdr:sp macro="" textlink="">
      <xdr:nvSpPr>
        <xdr:cNvPr id="253" name="AutoShape 272" descr="+">
          <a:extLst>
            <a:ext uri="{FF2B5EF4-FFF2-40B4-BE49-F238E27FC236}">
              <a16:creationId xmlns:a16="http://schemas.microsoft.com/office/drawing/2014/main" id="{00000000-0008-0000-0B00-0000FD000000}"/>
            </a:ext>
          </a:extLst>
        </xdr:cNvPr>
        <xdr:cNvSpPr>
          <a:spLocks noChangeAspect="1" noChangeArrowheads="1"/>
        </xdr:cNvSpPr>
      </xdr:nvSpPr>
      <xdr:spPr bwMode="auto">
        <a:xfrm>
          <a:off x="0" y="25155525"/>
          <a:ext cx="304800" cy="2041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9805</xdr:rowOff>
    </xdr:to>
    <xdr:sp macro="" textlink="">
      <xdr:nvSpPr>
        <xdr:cNvPr id="254" name="AutoShape 273" descr="+">
          <a:extLst>
            <a:ext uri="{FF2B5EF4-FFF2-40B4-BE49-F238E27FC236}">
              <a16:creationId xmlns:a16="http://schemas.microsoft.com/office/drawing/2014/main" id="{00000000-0008-0000-0B00-0000FE000000}"/>
            </a:ext>
          </a:extLst>
        </xdr:cNvPr>
        <xdr:cNvSpPr>
          <a:spLocks noChangeAspect="1" noChangeArrowheads="1"/>
        </xdr:cNvSpPr>
      </xdr:nvSpPr>
      <xdr:spPr bwMode="auto">
        <a:xfrm>
          <a:off x="0" y="25155525"/>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9805</xdr:rowOff>
    </xdr:to>
    <xdr:sp macro="" textlink="">
      <xdr:nvSpPr>
        <xdr:cNvPr id="255" name="AutoShape 274" descr="+">
          <a:extLst>
            <a:ext uri="{FF2B5EF4-FFF2-40B4-BE49-F238E27FC236}">
              <a16:creationId xmlns:a16="http://schemas.microsoft.com/office/drawing/2014/main" id="{00000000-0008-0000-0B00-0000FF000000}"/>
            </a:ext>
          </a:extLst>
        </xdr:cNvPr>
        <xdr:cNvSpPr>
          <a:spLocks noChangeAspect="1" noChangeArrowheads="1"/>
        </xdr:cNvSpPr>
      </xdr:nvSpPr>
      <xdr:spPr bwMode="auto">
        <a:xfrm>
          <a:off x="0" y="25155525"/>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23371</xdr:rowOff>
    </xdr:to>
    <xdr:sp macro="" textlink="">
      <xdr:nvSpPr>
        <xdr:cNvPr id="256" name="AutoShape 275" descr="+">
          <a:extLst>
            <a:ext uri="{FF2B5EF4-FFF2-40B4-BE49-F238E27FC236}">
              <a16:creationId xmlns:a16="http://schemas.microsoft.com/office/drawing/2014/main" id="{00000000-0008-0000-0B00-000000010000}"/>
            </a:ext>
          </a:extLst>
        </xdr:cNvPr>
        <xdr:cNvSpPr>
          <a:spLocks noChangeAspect="1" noChangeArrowheads="1"/>
        </xdr:cNvSpPr>
      </xdr:nvSpPr>
      <xdr:spPr bwMode="auto">
        <a:xfrm>
          <a:off x="0" y="25155525"/>
          <a:ext cx="304800" cy="18529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9805</xdr:rowOff>
    </xdr:to>
    <xdr:sp macro="" textlink="">
      <xdr:nvSpPr>
        <xdr:cNvPr id="257" name="AutoShape 276" descr="+">
          <a:extLst>
            <a:ext uri="{FF2B5EF4-FFF2-40B4-BE49-F238E27FC236}">
              <a16:creationId xmlns:a16="http://schemas.microsoft.com/office/drawing/2014/main" id="{00000000-0008-0000-0B00-000001010000}"/>
            </a:ext>
          </a:extLst>
        </xdr:cNvPr>
        <xdr:cNvSpPr>
          <a:spLocks noChangeAspect="1" noChangeArrowheads="1"/>
        </xdr:cNvSpPr>
      </xdr:nvSpPr>
      <xdr:spPr bwMode="auto">
        <a:xfrm>
          <a:off x="0" y="25155525"/>
          <a:ext cx="304800" cy="1717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48583</xdr:rowOff>
    </xdr:to>
    <xdr:sp macro="" textlink="">
      <xdr:nvSpPr>
        <xdr:cNvPr id="258" name="AutoShape 277" descr="+">
          <a:extLst>
            <a:ext uri="{FF2B5EF4-FFF2-40B4-BE49-F238E27FC236}">
              <a16:creationId xmlns:a16="http://schemas.microsoft.com/office/drawing/2014/main" id="{00000000-0008-0000-0B00-000002010000}"/>
            </a:ext>
          </a:extLst>
        </xdr:cNvPr>
        <xdr:cNvSpPr>
          <a:spLocks noChangeAspect="1" noChangeArrowheads="1"/>
        </xdr:cNvSpPr>
      </xdr:nvSpPr>
      <xdr:spPr bwMode="auto">
        <a:xfrm>
          <a:off x="0" y="25155525"/>
          <a:ext cx="304800" cy="2105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48585</xdr:rowOff>
    </xdr:to>
    <xdr:sp macro="" textlink="">
      <xdr:nvSpPr>
        <xdr:cNvPr id="259" name="AutoShape 278" descr="+">
          <a:extLst>
            <a:ext uri="{FF2B5EF4-FFF2-40B4-BE49-F238E27FC236}">
              <a16:creationId xmlns:a16="http://schemas.microsoft.com/office/drawing/2014/main" id="{00000000-0008-0000-0B00-000003010000}"/>
            </a:ext>
          </a:extLst>
        </xdr:cNvPr>
        <xdr:cNvSpPr>
          <a:spLocks noChangeAspect="1" noChangeArrowheads="1"/>
        </xdr:cNvSpPr>
      </xdr:nvSpPr>
      <xdr:spPr bwMode="auto">
        <a:xfrm>
          <a:off x="0" y="2515552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29535</xdr:rowOff>
    </xdr:to>
    <xdr:sp macro="" textlink="">
      <xdr:nvSpPr>
        <xdr:cNvPr id="260" name="AutoShape 279" descr="+">
          <a:extLst>
            <a:ext uri="{FF2B5EF4-FFF2-40B4-BE49-F238E27FC236}">
              <a16:creationId xmlns:a16="http://schemas.microsoft.com/office/drawing/2014/main" id="{00000000-0008-0000-0B00-000004010000}"/>
            </a:ext>
          </a:extLst>
        </xdr:cNvPr>
        <xdr:cNvSpPr>
          <a:spLocks noChangeAspect="1" noChangeArrowheads="1"/>
        </xdr:cNvSpPr>
      </xdr:nvSpPr>
      <xdr:spPr bwMode="auto">
        <a:xfrm>
          <a:off x="0" y="25155525"/>
          <a:ext cx="304800" cy="19146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48587</xdr:rowOff>
    </xdr:to>
    <xdr:sp macro="" textlink="">
      <xdr:nvSpPr>
        <xdr:cNvPr id="261" name="AutoShape 280" descr="+">
          <a:extLst>
            <a:ext uri="{FF2B5EF4-FFF2-40B4-BE49-F238E27FC236}">
              <a16:creationId xmlns:a16="http://schemas.microsoft.com/office/drawing/2014/main" id="{00000000-0008-0000-0B00-000005010000}"/>
            </a:ext>
          </a:extLst>
        </xdr:cNvPr>
        <xdr:cNvSpPr>
          <a:spLocks noChangeAspect="1" noChangeArrowheads="1"/>
        </xdr:cNvSpPr>
      </xdr:nvSpPr>
      <xdr:spPr bwMode="auto">
        <a:xfrm>
          <a:off x="0" y="25155525"/>
          <a:ext cx="304800" cy="21051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48584</xdr:rowOff>
    </xdr:to>
    <xdr:sp macro="" textlink="">
      <xdr:nvSpPr>
        <xdr:cNvPr id="262" name="AutoShape 281" descr="+">
          <a:extLst>
            <a:ext uri="{FF2B5EF4-FFF2-40B4-BE49-F238E27FC236}">
              <a16:creationId xmlns:a16="http://schemas.microsoft.com/office/drawing/2014/main" id="{00000000-0008-0000-0B00-000006010000}"/>
            </a:ext>
          </a:extLst>
        </xdr:cNvPr>
        <xdr:cNvSpPr>
          <a:spLocks noChangeAspect="1" noChangeArrowheads="1"/>
        </xdr:cNvSpPr>
      </xdr:nvSpPr>
      <xdr:spPr bwMode="auto">
        <a:xfrm>
          <a:off x="0" y="25155525"/>
          <a:ext cx="304800" cy="21050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48582</xdr:rowOff>
    </xdr:to>
    <xdr:sp macro="" textlink="">
      <xdr:nvSpPr>
        <xdr:cNvPr id="263" name="AutoShape 282" descr="+">
          <a:extLst>
            <a:ext uri="{FF2B5EF4-FFF2-40B4-BE49-F238E27FC236}">
              <a16:creationId xmlns:a16="http://schemas.microsoft.com/office/drawing/2014/main" id="{00000000-0008-0000-0B00-000007010000}"/>
            </a:ext>
          </a:extLst>
        </xdr:cNvPr>
        <xdr:cNvSpPr>
          <a:spLocks noChangeAspect="1" noChangeArrowheads="1"/>
        </xdr:cNvSpPr>
      </xdr:nvSpPr>
      <xdr:spPr bwMode="auto">
        <a:xfrm>
          <a:off x="0" y="25155525"/>
          <a:ext cx="304800" cy="21050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48586</xdr:rowOff>
    </xdr:to>
    <xdr:sp macro="" textlink="">
      <xdr:nvSpPr>
        <xdr:cNvPr id="264" name="AutoShape 283" descr="+">
          <a:extLst>
            <a:ext uri="{FF2B5EF4-FFF2-40B4-BE49-F238E27FC236}">
              <a16:creationId xmlns:a16="http://schemas.microsoft.com/office/drawing/2014/main" id="{00000000-0008-0000-0B00-000008010000}"/>
            </a:ext>
          </a:extLst>
        </xdr:cNvPr>
        <xdr:cNvSpPr>
          <a:spLocks noChangeAspect="1" noChangeArrowheads="1"/>
        </xdr:cNvSpPr>
      </xdr:nvSpPr>
      <xdr:spPr bwMode="auto">
        <a:xfrm>
          <a:off x="0" y="2515552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48586</xdr:rowOff>
    </xdr:to>
    <xdr:sp macro="" textlink="">
      <xdr:nvSpPr>
        <xdr:cNvPr id="265" name="AutoShape 284" descr="+">
          <a:extLst>
            <a:ext uri="{FF2B5EF4-FFF2-40B4-BE49-F238E27FC236}">
              <a16:creationId xmlns:a16="http://schemas.microsoft.com/office/drawing/2014/main" id="{00000000-0008-0000-0B00-000009010000}"/>
            </a:ext>
          </a:extLst>
        </xdr:cNvPr>
        <xdr:cNvSpPr>
          <a:spLocks noChangeAspect="1" noChangeArrowheads="1"/>
        </xdr:cNvSpPr>
      </xdr:nvSpPr>
      <xdr:spPr bwMode="auto">
        <a:xfrm>
          <a:off x="0" y="2515552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20010</xdr:rowOff>
    </xdr:to>
    <xdr:sp macro="" textlink="">
      <xdr:nvSpPr>
        <xdr:cNvPr id="266" name="AutoShape 285" descr="+">
          <a:extLst>
            <a:ext uri="{FF2B5EF4-FFF2-40B4-BE49-F238E27FC236}">
              <a16:creationId xmlns:a16="http://schemas.microsoft.com/office/drawing/2014/main" id="{00000000-0008-0000-0B00-00000A010000}"/>
            </a:ext>
          </a:extLst>
        </xdr:cNvPr>
        <xdr:cNvSpPr>
          <a:spLocks noChangeAspect="1" noChangeArrowheads="1"/>
        </xdr:cNvSpPr>
      </xdr:nvSpPr>
      <xdr:spPr bwMode="auto">
        <a:xfrm>
          <a:off x="0" y="25155525"/>
          <a:ext cx="304800" cy="18193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38778</xdr:rowOff>
    </xdr:to>
    <xdr:sp macro="" textlink="">
      <xdr:nvSpPr>
        <xdr:cNvPr id="267" name="AutoShape 286" descr="+">
          <a:extLst>
            <a:ext uri="{FF2B5EF4-FFF2-40B4-BE49-F238E27FC236}">
              <a16:creationId xmlns:a16="http://schemas.microsoft.com/office/drawing/2014/main" id="{00000000-0008-0000-0B00-00000B010000}"/>
            </a:ext>
          </a:extLst>
        </xdr:cNvPr>
        <xdr:cNvSpPr>
          <a:spLocks noChangeAspect="1" noChangeArrowheads="1"/>
        </xdr:cNvSpPr>
      </xdr:nvSpPr>
      <xdr:spPr bwMode="auto">
        <a:xfrm>
          <a:off x="0" y="25155525"/>
          <a:ext cx="304800" cy="2007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38781</xdr:rowOff>
    </xdr:to>
    <xdr:sp macro="" textlink="">
      <xdr:nvSpPr>
        <xdr:cNvPr id="268" name="AutoShape 287" descr="+">
          <a:extLst>
            <a:ext uri="{FF2B5EF4-FFF2-40B4-BE49-F238E27FC236}">
              <a16:creationId xmlns:a16="http://schemas.microsoft.com/office/drawing/2014/main" id="{00000000-0008-0000-0B00-00000C010000}"/>
            </a:ext>
          </a:extLst>
        </xdr:cNvPr>
        <xdr:cNvSpPr>
          <a:spLocks noChangeAspect="1" noChangeArrowheads="1"/>
        </xdr:cNvSpPr>
      </xdr:nvSpPr>
      <xdr:spPr bwMode="auto">
        <a:xfrm>
          <a:off x="0" y="25155525"/>
          <a:ext cx="304800" cy="20070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42181</xdr:rowOff>
    </xdr:to>
    <xdr:sp macro="" textlink="">
      <xdr:nvSpPr>
        <xdr:cNvPr id="269" name="AutoShape 288" descr="+">
          <a:extLst>
            <a:ext uri="{FF2B5EF4-FFF2-40B4-BE49-F238E27FC236}">
              <a16:creationId xmlns:a16="http://schemas.microsoft.com/office/drawing/2014/main" id="{00000000-0008-0000-0B00-00000D010000}"/>
            </a:ext>
          </a:extLst>
        </xdr:cNvPr>
        <xdr:cNvSpPr>
          <a:spLocks noChangeAspect="1" noChangeArrowheads="1"/>
        </xdr:cNvSpPr>
      </xdr:nvSpPr>
      <xdr:spPr bwMode="auto">
        <a:xfrm>
          <a:off x="0" y="25155525"/>
          <a:ext cx="304800" cy="20410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9804</xdr:rowOff>
    </xdr:to>
    <xdr:sp macro="" textlink="">
      <xdr:nvSpPr>
        <xdr:cNvPr id="270" name="AutoShape 289" descr="+">
          <a:extLst>
            <a:ext uri="{FF2B5EF4-FFF2-40B4-BE49-F238E27FC236}">
              <a16:creationId xmlns:a16="http://schemas.microsoft.com/office/drawing/2014/main" id="{00000000-0008-0000-0B00-00000E010000}"/>
            </a:ext>
          </a:extLst>
        </xdr:cNvPr>
        <xdr:cNvSpPr>
          <a:spLocks noChangeAspect="1" noChangeArrowheads="1"/>
        </xdr:cNvSpPr>
      </xdr:nvSpPr>
      <xdr:spPr bwMode="auto">
        <a:xfrm>
          <a:off x="0" y="25155525"/>
          <a:ext cx="304800" cy="17172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48586</xdr:rowOff>
    </xdr:to>
    <xdr:sp macro="" textlink="">
      <xdr:nvSpPr>
        <xdr:cNvPr id="271" name="AutoShape 290" descr="+">
          <a:extLst>
            <a:ext uri="{FF2B5EF4-FFF2-40B4-BE49-F238E27FC236}">
              <a16:creationId xmlns:a16="http://schemas.microsoft.com/office/drawing/2014/main" id="{00000000-0008-0000-0B00-00000F010000}"/>
            </a:ext>
          </a:extLst>
        </xdr:cNvPr>
        <xdr:cNvSpPr>
          <a:spLocks noChangeAspect="1" noChangeArrowheads="1"/>
        </xdr:cNvSpPr>
      </xdr:nvSpPr>
      <xdr:spPr bwMode="auto">
        <a:xfrm>
          <a:off x="0" y="2515552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48585</xdr:rowOff>
    </xdr:to>
    <xdr:sp macro="" textlink="">
      <xdr:nvSpPr>
        <xdr:cNvPr id="272" name="AutoShape 291" descr="+">
          <a:extLst>
            <a:ext uri="{FF2B5EF4-FFF2-40B4-BE49-F238E27FC236}">
              <a16:creationId xmlns:a16="http://schemas.microsoft.com/office/drawing/2014/main" id="{00000000-0008-0000-0B00-000010010000}"/>
            </a:ext>
          </a:extLst>
        </xdr:cNvPr>
        <xdr:cNvSpPr>
          <a:spLocks noChangeAspect="1" noChangeArrowheads="1"/>
        </xdr:cNvSpPr>
      </xdr:nvSpPr>
      <xdr:spPr bwMode="auto">
        <a:xfrm>
          <a:off x="0" y="25155525"/>
          <a:ext cx="304800" cy="21051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48586</xdr:rowOff>
    </xdr:to>
    <xdr:sp macro="" textlink="">
      <xdr:nvSpPr>
        <xdr:cNvPr id="273" name="AutoShape 292" descr="+">
          <a:extLst>
            <a:ext uri="{FF2B5EF4-FFF2-40B4-BE49-F238E27FC236}">
              <a16:creationId xmlns:a16="http://schemas.microsoft.com/office/drawing/2014/main" id="{00000000-0008-0000-0B00-000011010000}"/>
            </a:ext>
          </a:extLst>
        </xdr:cNvPr>
        <xdr:cNvSpPr>
          <a:spLocks noChangeAspect="1" noChangeArrowheads="1"/>
        </xdr:cNvSpPr>
      </xdr:nvSpPr>
      <xdr:spPr bwMode="auto">
        <a:xfrm>
          <a:off x="0" y="2515552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48583</xdr:rowOff>
    </xdr:to>
    <xdr:sp macro="" textlink="">
      <xdr:nvSpPr>
        <xdr:cNvPr id="274" name="AutoShape 293" descr="+">
          <a:extLst>
            <a:ext uri="{FF2B5EF4-FFF2-40B4-BE49-F238E27FC236}">
              <a16:creationId xmlns:a16="http://schemas.microsoft.com/office/drawing/2014/main" id="{00000000-0008-0000-0B00-000012010000}"/>
            </a:ext>
          </a:extLst>
        </xdr:cNvPr>
        <xdr:cNvSpPr>
          <a:spLocks noChangeAspect="1" noChangeArrowheads="1"/>
        </xdr:cNvSpPr>
      </xdr:nvSpPr>
      <xdr:spPr bwMode="auto">
        <a:xfrm>
          <a:off x="0" y="25155525"/>
          <a:ext cx="304800" cy="21050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48586</xdr:rowOff>
    </xdr:to>
    <xdr:sp macro="" textlink="">
      <xdr:nvSpPr>
        <xdr:cNvPr id="275" name="AutoShape 294" descr="+">
          <a:extLst>
            <a:ext uri="{FF2B5EF4-FFF2-40B4-BE49-F238E27FC236}">
              <a16:creationId xmlns:a16="http://schemas.microsoft.com/office/drawing/2014/main" id="{00000000-0008-0000-0B00-000013010000}"/>
            </a:ext>
          </a:extLst>
        </xdr:cNvPr>
        <xdr:cNvSpPr>
          <a:spLocks noChangeAspect="1" noChangeArrowheads="1"/>
        </xdr:cNvSpPr>
      </xdr:nvSpPr>
      <xdr:spPr bwMode="auto">
        <a:xfrm>
          <a:off x="0" y="2515552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143153</xdr:rowOff>
    </xdr:to>
    <xdr:sp macro="" textlink="">
      <xdr:nvSpPr>
        <xdr:cNvPr id="276" name="AutoShape 295" descr="+">
          <a:extLst>
            <a:ext uri="{FF2B5EF4-FFF2-40B4-BE49-F238E27FC236}">
              <a16:creationId xmlns:a16="http://schemas.microsoft.com/office/drawing/2014/main" id="{00000000-0008-0000-0B00-000014010000}"/>
            </a:ext>
          </a:extLst>
        </xdr:cNvPr>
        <xdr:cNvSpPr>
          <a:spLocks noChangeAspect="1" noChangeArrowheads="1"/>
        </xdr:cNvSpPr>
      </xdr:nvSpPr>
      <xdr:spPr bwMode="auto">
        <a:xfrm>
          <a:off x="0" y="25155525"/>
          <a:ext cx="304800" cy="30507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20012</xdr:rowOff>
    </xdr:to>
    <xdr:sp macro="" textlink="">
      <xdr:nvSpPr>
        <xdr:cNvPr id="277" name="AutoShape 296" descr="+">
          <a:extLst>
            <a:ext uri="{FF2B5EF4-FFF2-40B4-BE49-F238E27FC236}">
              <a16:creationId xmlns:a16="http://schemas.microsoft.com/office/drawing/2014/main" id="{00000000-0008-0000-0B00-000015010000}"/>
            </a:ext>
          </a:extLst>
        </xdr:cNvPr>
        <xdr:cNvSpPr>
          <a:spLocks noChangeAspect="1" noChangeArrowheads="1"/>
        </xdr:cNvSpPr>
      </xdr:nvSpPr>
      <xdr:spPr bwMode="auto">
        <a:xfrm>
          <a:off x="0" y="25155525"/>
          <a:ext cx="304800" cy="18193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144552</xdr:rowOff>
    </xdr:to>
    <xdr:sp macro="" textlink="">
      <xdr:nvSpPr>
        <xdr:cNvPr id="278" name="AutoShape 297" descr="+">
          <a:extLst>
            <a:ext uri="{FF2B5EF4-FFF2-40B4-BE49-F238E27FC236}">
              <a16:creationId xmlns:a16="http://schemas.microsoft.com/office/drawing/2014/main" id="{00000000-0008-0000-0B00-000016010000}"/>
            </a:ext>
          </a:extLst>
        </xdr:cNvPr>
        <xdr:cNvSpPr>
          <a:spLocks noChangeAspect="1" noChangeArrowheads="1"/>
        </xdr:cNvSpPr>
      </xdr:nvSpPr>
      <xdr:spPr bwMode="auto">
        <a:xfrm>
          <a:off x="0" y="25155525"/>
          <a:ext cx="304800" cy="30647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41</xdr:row>
      <xdr:rowOff>0</xdr:rowOff>
    </xdr:from>
    <xdr:to>
      <xdr:col>2</xdr:col>
      <xdr:colOff>304800</xdr:colOff>
      <xdr:row>42</xdr:row>
      <xdr:rowOff>48586</xdr:rowOff>
    </xdr:to>
    <xdr:sp macro="" textlink="">
      <xdr:nvSpPr>
        <xdr:cNvPr id="279" name="AutoShape 298" descr="+">
          <a:extLst>
            <a:ext uri="{FF2B5EF4-FFF2-40B4-BE49-F238E27FC236}">
              <a16:creationId xmlns:a16="http://schemas.microsoft.com/office/drawing/2014/main" id="{00000000-0008-0000-0B00-000017010000}"/>
            </a:ext>
          </a:extLst>
        </xdr:cNvPr>
        <xdr:cNvSpPr>
          <a:spLocks noChangeAspect="1" noChangeArrowheads="1"/>
        </xdr:cNvSpPr>
      </xdr:nvSpPr>
      <xdr:spPr bwMode="auto">
        <a:xfrm>
          <a:off x="0" y="25155525"/>
          <a:ext cx="304800" cy="21051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0</xdr:colOff>
      <xdr:row>41</xdr:row>
      <xdr:rowOff>0</xdr:rowOff>
    </xdr:from>
    <xdr:ext cx="304800" cy="166687"/>
    <xdr:sp macro="" textlink="">
      <xdr:nvSpPr>
        <xdr:cNvPr id="282" name="AutoShape 80" descr="+">
          <a:extLst>
            <a:ext uri="{FF2B5EF4-FFF2-40B4-BE49-F238E27FC236}">
              <a16:creationId xmlns:a16="http://schemas.microsoft.com/office/drawing/2014/main" id="{00000000-0008-0000-0B00-00001A010000}"/>
            </a:ext>
          </a:extLst>
        </xdr:cNvPr>
        <xdr:cNvSpPr>
          <a:spLocks noChangeAspect="1" noChangeArrowheads="1"/>
        </xdr:cNvSpPr>
      </xdr:nvSpPr>
      <xdr:spPr bwMode="auto">
        <a:xfrm>
          <a:off x="0" y="21716999"/>
          <a:ext cx="304800" cy="1666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1496786</xdr:colOff>
      <xdr:row>41</xdr:row>
      <xdr:rowOff>0</xdr:rowOff>
    </xdr:from>
    <xdr:ext cx="304800" cy="166687"/>
    <xdr:sp macro="" textlink="">
      <xdr:nvSpPr>
        <xdr:cNvPr id="283" name="AutoShape 80" descr="+">
          <a:extLst>
            <a:ext uri="{FF2B5EF4-FFF2-40B4-BE49-F238E27FC236}">
              <a16:creationId xmlns:a16="http://schemas.microsoft.com/office/drawing/2014/main" id="{00000000-0008-0000-0B00-00001B010000}"/>
            </a:ext>
          </a:extLst>
        </xdr:cNvPr>
        <xdr:cNvSpPr>
          <a:spLocks noChangeAspect="1" noChangeArrowheads="1"/>
        </xdr:cNvSpPr>
      </xdr:nvSpPr>
      <xdr:spPr bwMode="auto">
        <a:xfrm>
          <a:off x="1496786" y="21907499"/>
          <a:ext cx="304800" cy="16668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4598</xdr:colOff>
      <xdr:row>62</xdr:row>
      <xdr:rowOff>29936</xdr:rowOff>
    </xdr:from>
    <xdr:to>
      <xdr:col>5</xdr:col>
      <xdr:colOff>305706</xdr:colOff>
      <xdr:row>62</xdr:row>
      <xdr:rowOff>2984393</xdr:rowOff>
    </xdr:to>
    <xdr:pic>
      <xdr:nvPicPr>
        <xdr:cNvPr id="288" name="Picture 287">
          <a:extLst>
            <a:ext uri="{FF2B5EF4-FFF2-40B4-BE49-F238E27FC236}">
              <a16:creationId xmlns:a16="http://schemas.microsoft.com/office/drawing/2014/main" id="{00000000-0008-0000-0B00-000020010000}"/>
            </a:ext>
          </a:extLst>
        </xdr:cNvPr>
        <xdr:cNvPicPr>
          <a:picLocks noChangeAspect="1"/>
        </xdr:cNvPicPr>
      </xdr:nvPicPr>
      <xdr:blipFill>
        <a:blip xmlns:r="http://schemas.openxmlformats.org/officeDocument/2006/relationships" r:embed="rId1"/>
        <a:stretch>
          <a:fillRect/>
        </a:stretch>
      </xdr:blipFill>
      <xdr:spPr>
        <a:xfrm>
          <a:off x="183892" y="23629524"/>
          <a:ext cx="6934990" cy="2954457"/>
        </a:xfrm>
        <a:prstGeom prst="rect">
          <a:avLst/>
        </a:prstGeom>
        <a:ln>
          <a:solidFill>
            <a:schemeClr val="tx1"/>
          </a:solidFill>
        </a:ln>
      </xdr:spPr>
    </xdr:pic>
    <xdr:clientData/>
  </xdr:twoCellAnchor>
  <xdr:twoCellAnchor editAs="oneCell">
    <xdr:from>
      <xdr:col>1</xdr:col>
      <xdr:colOff>39190</xdr:colOff>
      <xdr:row>32</xdr:row>
      <xdr:rowOff>39766</xdr:rowOff>
    </xdr:from>
    <xdr:to>
      <xdr:col>4</xdr:col>
      <xdr:colOff>778452</xdr:colOff>
      <xdr:row>32</xdr:row>
      <xdr:rowOff>3718538</xdr:rowOff>
    </xdr:to>
    <xdr:pic>
      <xdr:nvPicPr>
        <xdr:cNvPr id="293" name="Picture 292">
          <a:extLst>
            <a:ext uri="{FF2B5EF4-FFF2-40B4-BE49-F238E27FC236}">
              <a16:creationId xmlns:a16="http://schemas.microsoft.com/office/drawing/2014/main" id="{00000000-0008-0000-0B00-000025010000}"/>
            </a:ext>
          </a:extLst>
        </xdr:cNvPr>
        <xdr:cNvPicPr>
          <a:picLocks noChangeAspect="1"/>
        </xdr:cNvPicPr>
      </xdr:nvPicPr>
      <xdr:blipFill>
        <a:blip xmlns:r="http://schemas.openxmlformats.org/officeDocument/2006/relationships" r:embed="rId2"/>
        <a:stretch>
          <a:fillRect/>
        </a:stretch>
      </xdr:blipFill>
      <xdr:spPr>
        <a:xfrm>
          <a:off x="218484" y="10237119"/>
          <a:ext cx="6319792" cy="3678772"/>
        </a:xfrm>
        <a:prstGeom prst="rect">
          <a:avLst/>
        </a:prstGeom>
        <a:ln>
          <a:solidFill>
            <a:schemeClr val="tx1"/>
          </a:solidFill>
        </a:ln>
      </xdr:spPr>
    </xdr:pic>
    <xdr:clientData/>
  </xdr:twoCellAnchor>
  <xdr:twoCellAnchor editAs="oneCell">
    <xdr:from>
      <xdr:col>1</xdr:col>
      <xdr:colOff>6724</xdr:colOff>
      <xdr:row>47</xdr:row>
      <xdr:rowOff>45943</xdr:rowOff>
    </xdr:from>
    <xdr:to>
      <xdr:col>4</xdr:col>
      <xdr:colOff>769739</xdr:colOff>
      <xdr:row>47</xdr:row>
      <xdr:rowOff>2839951</xdr:rowOff>
    </xdr:to>
    <xdr:pic>
      <xdr:nvPicPr>
        <xdr:cNvPr id="292" name="Picture 291">
          <a:extLst>
            <a:ext uri="{FF2B5EF4-FFF2-40B4-BE49-F238E27FC236}">
              <a16:creationId xmlns:a16="http://schemas.microsoft.com/office/drawing/2014/main" id="{00000000-0008-0000-0B00-000024010000}"/>
            </a:ext>
          </a:extLst>
        </xdr:cNvPr>
        <xdr:cNvPicPr>
          <a:picLocks noChangeAspect="1"/>
        </xdr:cNvPicPr>
      </xdr:nvPicPr>
      <xdr:blipFill>
        <a:blip xmlns:r="http://schemas.openxmlformats.org/officeDocument/2006/relationships" r:embed="rId3"/>
        <a:stretch>
          <a:fillRect/>
        </a:stretch>
      </xdr:blipFill>
      <xdr:spPr>
        <a:xfrm>
          <a:off x="186018" y="17426267"/>
          <a:ext cx="6343545" cy="2794008"/>
        </a:xfrm>
        <a:prstGeom prst="rect">
          <a:avLst/>
        </a:prstGeom>
        <a:ln>
          <a:solidFill>
            <a:schemeClr val="tx1"/>
          </a:solidFill>
        </a:ln>
      </xdr:spPr>
    </xdr:pic>
    <xdr:clientData/>
  </xdr:twoCellAnchor>
  <xdr:twoCellAnchor editAs="oneCell">
    <xdr:from>
      <xdr:col>4</xdr:col>
      <xdr:colOff>966107</xdr:colOff>
      <xdr:row>32</xdr:row>
      <xdr:rowOff>20707</xdr:rowOff>
    </xdr:from>
    <xdr:to>
      <xdr:col>9</xdr:col>
      <xdr:colOff>489858</xdr:colOff>
      <xdr:row>32</xdr:row>
      <xdr:rowOff>3735880</xdr:rowOff>
    </xdr:to>
    <xdr:pic>
      <xdr:nvPicPr>
        <xdr:cNvPr id="280" name="Picture 279">
          <a:extLst>
            <a:ext uri="{FF2B5EF4-FFF2-40B4-BE49-F238E27FC236}">
              <a16:creationId xmlns:a16="http://schemas.microsoft.com/office/drawing/2014/main" id="{04237B66-6525-454F-86AE-CA534486FC15}"/>
            </a:ext>
          </a:extLst>
        </xdr:cNvPr>
        <xdr:cNvPicPr>
          <a:picLocks noChangeAspect="1"/>
        </xdr:cNvPicPr>
      </xdr:nvPicPr>
      <xdr:blipFill>
        <a:blip xmlns:r="http://schemas.openxmlformats.org/officeDocument/2006/relationships" r:embed="rId4"/>
        <a:stretch>
          <a:fillRect/>
        </a:stretch>
      </xdr:blipFill>
      <xdr:spPr>
        <a:xfrm>
          <a:off x="6735536" y="10402957"/>
          <a:ext cx="5211536" cy="3715173"/>
        </a:xfrm>
        <a:prstGeom prst="rect">
          <a:avLst/>
        </a:prstGeom>
        <a:ln>
          <a:solidFill>
            <a:schemeClr val="tx1"/>
          </a:solidFill>
        </a:ln>
      </xdr:spPr>
    </xdr:pic>
    <xdr:clientData/>
  </xdr:twoCellAnchor>
  <xdr:twoCellAnchor editAs="oneCell">
    <xdr:from>
      <xdr:col>4</xdr:col>
      <xdr:colOff>1006928</xdr:colOff>
      <xdr:row>47</xdr:row>
      <xdr:rowOff>54430</xdr:rowOff>
    </xdr:from>
    <xdr:to>
      <xdr:col>10</xdr:col>
      <xdr:colOff>936330</xdr:colOff>
      <xdr:row>47</xdr:row>
      <xdr:rowOff>2830286</xdr:rowOff>
    </xdr:to>
    <xdr:pic>
      <xdr:nvPicPr>
        <xdr:cNvPr id="281" name="Picture 280">
          <a:extLst>
            <a:ext uri="{FF2B5EF4-FFF2-40B4-BE49-F238E27FC236}">
              <a16:creationId xmlns:a16="http://schemas.microsoft.com/office/drawing/2014/main" id="{0D65FA0B-0647-470D-B440-6C5506C1FD34}"/>
            </a:ext>
          </a:extLst>
        </xdr:cNvPr>
        <xdr:cNvPicPr>
          <a:picLocks noChangeAspect="1"/>
        </xdr:cNvPicPr>
      </xdr:nvPicPr>
      <xdr:blipFill>
        <a:blip xmlns:r="http://schemas.openxmlformats.org/officeDocument/2006/relationships" r:embed="rId5"/>
        <a:stretch>
          <a:fillRect/>
        </a:stretch>
      </xdr:blipFill>
      <xdr:spPr>
        <a:xfrm>
          <a:off x="6776357" y="17689287"/>
          <a:ext cx="6678544" cy="2775856"/>
        </a:xfrm>
        <a:prstGeom prst="rect">
          <a:avLst/>
        </a:prstGeom>
        <a:ln>
          <a:solidFill>
            <a:schemeClr val="tx1"/>
          </a:solidFill>
        </a:ln>
      </xdr:spPr>
    </xdr:pic>
    <xdr:clientData/>
  </xdr:twoCellAnchor>
  <xdr:twoCellAnchor editAs="oneCell">
    <xdr:from>
      <xdr:col>5</xdr:col>
      <xdr:colOff>490818</xdr:colOff>
      <xdr:row>62</xdr:row>
      <xdr:rowOff>33620</xdr:rowOff>
    </xdr:from>
    <xdr:to>
      <xdr:col>11</xdr:col>
      <xdr:colOff>11206</xdr:colOff>
      <xdr:row>62</xdr:row>
      <xdr:rowOff>2983256</xdr:rowOff>
    </xdr:to>
    <xdr:pic>
      <xdr:nvPicPr>
        <xdr:cNvPr id="284" name="Picture 283">
          <a:extLst>
            <a:ext uri="{FF2B5EF4-FFF2-40B4-BE49-F238E27FC236}">
              <a16:creationId xmlns:a16="http://schemas.microsoft.com/office/drawing/2014/main" id="{287CCBEE-2E4C-421F-96E6-293D1AE950CD}"/>
            </a:ext>
          </a:extLst>
        </xdr:cNvPr>
        <xdr:cNvPicPr>
          <a:picLocks noChangeAspect="1"/>
        </xdr:cNvPicPr>
      </xdr:nvPicPr>
      <xdr:blipFill>
        <a:blip xmlns:r="http://schemas.openxmlformats.org/officeDocument/2006/relationships" r:embed="rId6"/>
        <a:stretch>
          <a:fillRect/>
        </a:stretch>
      </xdr:blipFill>
      <xdr:spPr>
        <a:xfrm>
          <a:off x="7303994" y="23711649"/>
          <a:ext cx="6232712" cy="2949636"/>
        </a:xfrm>
        <a:prstGeom prst="rect">
          <a:avLst/>
        </a:prstGeom>
        <a:ln>
          <a:solidFill>
            <a:schemeClr val="tx1"/>
          </a:solidFill>
        </a:ln>
      </xdr:spPr>
    </xdr:pic>
    <xdr:clientData/>
  </xdr:twoCellAnchor>
  <xdr:twoCellAnchor editAs="oneCell">
    <xdr:from>
      <xdr:col>7</xdr:col>
      <xdr:colOff>28575</xdr:colOff>
      <xdr:row>0</xdr:row>
      <xdr:rowOff>76200</xdr:rowOff>
    </xdr:from>
    <xdr:to>
      <xdr:col>9</xdr:col>
      <xdr:colOff>388327</xdr:colOff>
      <xdr:row>6</xdr:row>
      <xdr:rowOff>7835</xdr:rowOff>
    </xdr:to>
    <xdr:pic>
      <xdr:nvPicPr>
        <xdr:cNvPr id="289" name="Picture 288">
          <a:extLst>
            <a:ext uri="{FF2B5EF4-FFF2-40B4-BE49-F238E27FC236}">
              <a16:creationId xmlns:a16="http://schemas.microsoft.com/office/drawing/2014/main" id="{E2EB117E-ED0A-4E91-ACEE-229BC7271A87}"/>
            </a:ext>
          </a:extLst>
        </xdr:cNvPr>
        <xdr:cNvPicPr>
          <a:picLocks noChangeAspect="1"/>
        </xdr:cNvPicPr>
      </xdr:nvPicPr>
      <xdr:blipFill>
        <a:blip xmlns:r="http://schemas.openxmlformats.org/officeDocument/2006/relationships" r:embed="rId7"/>
        <a:stretch>
          <a:fillRect/>
        </a:stretch>
      </xdr:blipFill>
      <xdr:spPr>
        <a:xfrm>
          <a:off x="9124950" y="76200"/>
          <a:ext cx="2702902" cy="107463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3767</xdr:colOff>
      <xdr:row>34</xdr:row>
      <xdr:rowOff>87085</xdr:rowOff>
    </xdr:from>
    <xdr:to>
      <xdr:col>1</xdr:col>
      <xdr:colOff>5385381</xdr:colOff>
      <xdr:row>56</xdr:row>
      <xdr:rowOff>13724</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186940" y="9619412"/>
          <a:ext cx="5375149" cy="3634062"/>
        </a:xfrm>
        <a:prstGeom prst="rect">
          <a:avLst/>
        </a:prstGeom>
        <a:ln>
          <a:solidFill>
            <a:schemeClr val="tx1"/>
          </a:solidFill>
        </a:ln>
      </xdr:spPr>
    </xdr:pic>
    <xdr:clientData/>
  </xdr:twoCellAnchor>
  <xdr:twoCellAnchor editAs="oneCell">
    <xdr:from>
      <xdr:col>4</xdr:col>
      <xdr:colOff>0</xdr:colOff>
      <xdr:row>57</xdr:row>
      <xdr:rowOff>0</xdr:rowOff>
    </xdr:from>
    <xdr:to>
      <xdr:col>5</xdr:col>
      <xdr:colOff>9525</xdr:colOff>
      <xdr:row>58</xdr:row>
      <xdr:rowOff>260235</xdr:rowOff>
    </xdr:to>
    <xdr:pic>
      <xdr:nvPicPr>
        <xdr:cNvPr id="7" name="Picture 6">
          <a:extLst>
            <a:ext uri="{FF2B5EF4-FFF2-40B4-BE49-F238E27FC236}">
              <a16:creationId xmlns:a16="http://schemas.microsoft.com/office/drawing/2014/main" id="{151E6A86-6FDB-4DE7-8902-DF61D8CA52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62600" y="13982700"/>
          <a:ext cx="153352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152400</xdr:colOff>
      <xdr:row>0</xdr:row>
      <xdr:rowOff>114300</xdr:rowOff>
    </xdr:from>
    <xdr:to>
      <xdr:col>6</xdr:col>
      <xdr:colOff>912202</xdr:colOff>
      <xdr:row>6</xdr:row>
      <xdr:rowOff>17360</xdr:rowOff>
    </xdr:to>
    <xdr:pic>
      <xdr:nvPicPr>
        <xdr:cNvPr id="5" name="Picture 4">
          <a:extLst>
            <a:ext uri="{FF2B5EF4-FFF2-40B4-BE49-F238E27FC236}">
              <a16:creationId xmlns:a16="http://schemas.microsoft.com/office/drawing/2014/main" id="{B2B6B959-BA27-4E16-82F0-B8FF3DCADE5F}"/>
            </a:ext>
          </a:extLst>
        </xdr:cNvPr>
        <xdr:cNvPicPr>
          <a:picLocks noChangeAspect="1"/>
        </xdr:cNvPicPr>
      </xdr:nvPicPr>
      <xdr:blipFill>
        <a:blip xmlns:r="http://schemas.openxmlformats.org/officeDocument/2006/relationships" r:embed="rId3"/>
        <a:stretch>
          <a:fillRect/>
        </a:stretch>
      </xdr:blipFill>
      <xdr:spPr>
        <a:xfrm>
          <a:off x="10287000" y="114300"/>
          <a:ext cx="2702902" cy="10746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90994</xdr:colOff>
      <xdr:row>4</xdr:row>
      <xdr:rowOff>109530</xdr:rowOff>
    </xdr:from>
    <xdr:to>
      <xdr:col>1</xdr:col>
      <xdr:colOff>2473901</xdr:colOff>
      <xdr:row>10</xdr:row>
      <xdr:rowOff>136471</xdr:rowOff>
    </xdr:to>
    <xdr:pic>
      <xdr:nvPicPr>
        <xdr:cNvPr id="2" name="Picture 1">
          <a:extLst>
            <a:ext uri="{FF2B5EF4-FFF2-40B4-BE49-F238E27FC236}">
              <a16:creationId xmlns:a16="http://schemas.microsoft.com/office/drawing/2014/main" id="{D8D209E9-B7DF-44FF-BDEF-97081A31E940}"/>
            </a:ext>
          </a:extLst>
        </xdr:cNvPr>
        <xdr:cNvPicPr>
          <a:picLocks noChangeAspect="1"/>
        </xdr:cNvPicPr>
      </xdr:nvPicPr>
      <xdr:blipFill>
        <a:blip xmlns:r="http://schemas.openxmlformats.org/officeDocument/2006/relationships" r:embed="rId1"/>
        <a:stretch>
          <a:fillRect/>
        </a:stretch>
      </xdr:blipFill>
      <xdr:spPr>
        <a:xfrm>
          <a:off x="90994" y="1489013"/>
          <a:ext cx="2507717" cy="10122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41423</xdr:colOff>
      <xdr:row>42</xdr:row>
      <xdr:rowOff>65827</xdr:rowOff>
    </xdr:from>
    <xdr:to>
      <xdr:col>10</xdr:col>
      <xdr:colOff>394866</xdr:colOff>
      <xdr:row>75</xdr:row>
      <xdr:rowOff>24260</xdr:rowOff>
    </xdr:to>
    <xdr:graphicFrame macro="">
      <xdr:nvGraphicFramePr>
        <xdr:cNvPr id="4" name="Chart 3">
          <a:extLst>
            <a:ext uri="{FF2B5EF4-FFF2-40B4-BE49-F238E27FC236}">
              <a16:creationId xmlns:a16="http://schemas.microsoft.com/office/drawing/2014/main" id="{7B137A18-1441-483E-97BD-A87D951B9D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236332</xdr:colOff>
      <xdr:row>43</xdr:row>
      <xdr:rowOff>43575</xdr:rowOff>
    </xdr:from>
    <xdr:to>
      <xdr:col>20</xdr:col>
      <xdr:colOff>294312</xdr:colOff>
      <xdr:row>66</xdr:row>
      <xdr:rowOff>82798</xdr:rowOff>
    </xdr:to>
    <xdr:graphicFrame macro="">
      <xdr:nvGraphicFramePr>
        <xdr:cNvPr id="6" name="Chart 5">
          <a:extLst>
            <a:ext uri="{FF2B5EF4-FFF2-40B4-BE49-F238E27FC236}">
              <a16:creationId xmlns:a16="http://schemas.microsoft.com/office/drawing/2014/main" id="{483C3623-ADE9-4C30-9EBB-7E5FBE6080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21</xdr:col>
      <xdr:colOff>0</xdr:colOff>
      <xdr:row>2</xdr:row>
      <xdr:rowOff>85724</xdr:rowOff>
    </xdr:to>
    <xdr:pic>
      <xdr:nvPicPr>
        <xdr:cNvPr id="8" name="Picture 7">
          <a:extLst>
            <a:ext uri="{FF2B5EF4-FFF2-40B4-BE49-F238E27FC236}">
              <a16:creationId xmlns:a16="http://schemas.microsoft.com/office/drawing/2014/main" id="{8BCB2C0D-BD53-4C73-B7FD-38245CE15AED}"/>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2801600" cy="409574"/>
        </a:xfrm>
        <a:prstGeom prst="rect">
          <a:avLst/>
        </a:prstGeom>
        <a:noFill/>
        <a:ln>
          <a:noFill/>
        </a:ln>
      </xdr:spPr>
    </xdr:pic>
    <xdr:clientData/>
  </xdr:twoCellAnchor>
  <xdr:twoCellAnchor>
    <xdr:from>
      <xdr:col>12</xdr:col>
      <xdr:colOff>126666</xdr:colOff>
      <xdr:row>7</xdr:row>
      <xdr:rowOff>13725</xdr:rowOff>
    </xdr:from>
    <xdr:to>
      <xdr:col>21</xdr:col>
      <xdr:colOff>359938</xdr:colOff>
      <xdr:row>36</xdr:row>
      <xdr:rowOff>134828</xdr:rowOff>
    </xdr:to>
    <xdr:graphicFrame macro="">
      <xdr:nvGraphicFramePr>
        <xdr:cNvPr id="9" name="Chart 8">
          <a:extLst>
            <a:ext uri="{FF2B5EF4-FFF2-40B4-BE49-F238E27FC236}">
              <a16:creationId xmlns:a16="http://schemas.microsoft.com/office/drawing/2014/main" id="{C4542AA9-BB44-4AAF-BD7D-C9B0D60678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561975</xdr:colOff>
      <xdr:row>6</xdr:row>
      <xdr:rowOff>129445</xdr:rowOff>
    </xdr:from>
    <xdr:to>
      <xdr:col>11</xdr:col>
      <xdr:colOff>411816</xdr:colOff>
      <xdr:row>40</xdr:row>
      <xdr:rowOff>155932</xdr:rowOff>
    </xdr:to>
    <xdr:graphicFrame macro="">
      <xdr:nvGraphicFramePr>
        <xdr:cNvPr id="11" name="Chart 10">
          <a:extLst>
            <a:ext uri="{FF2B5EF4-FFF2-40B4-BE49-F238E27FC236}">
              <a16:creationId xmlns:a16="http://schemas.microsoft.com/office/drawing/2014/main" id="{4E6C0938-E2C5-4624-94F0-8A06097F2F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533400</xdr:colOff>
      <xdr:row>77</xdr:row>
      <xdr:rowOff>57150</xdr:rowOff>
    </xdr:from>
    <xdr:to>
      <xdr:col>16</xdr:col>
      <xdr:colOff>296957</xdr:colOff>
      <xdr:row>118</xdr:row>
      <xdr:rowOff>123825</xdr:rowOff>
    </xdr:to>
    <xdr:graphicFrame macro="">
      <xdr:nvGraphicFramePr>
        <xdr:cNvPr id="7" name="Chart 6">
          <a:extLst>
            <a:ext uri="{FF2B5EF4-FFF2-40B4-BE49-F238E27FC236}">
              <a16:creationId xmlns:a16="http://schemas.microsoft.com/office/drawing/2014/main" id="{080EB51A-827C-43D4-AAD0-111658F9F1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149087</xdr:colOff>
      <xdr:row>13</xdr:row>
      <xdr:rowOff>74545</xdr:rowOff>
    </xdr:from>
    <xdr:to>
      <xdr:col>5</xdr:col>
      <xdr:colOff>325793</xdr:colOff>
      <xdr:row>17</xdr:row>
      <xdr:rowOff>271224</xdr:rowOff>
    </xdr:to>
    <xdr:pic>
      <xdr:nvPicPr>
        <xdr:cNvPr id="4" name="Picture 3">
          <a:extLst>
            <a:ext uri="{FF2B5EF4-FFF2-40B4-BE49-F238E27FC236}">
              <a16:creationId xmlns:a16="http://schemas.microsoft.com/office/drawing/2014/main" id="{12DCAAB8-2928-45D2-BC04-BEF6B7576D0B}"/>
            </a:ext>
          </a:extLst>
        </xdr:cNvPr>
        <xdr:cNvPicPr>
          <a:picLocks noChangeAspect="1"/>
        </xdr:cNvPicPr>
      </xdr:nvPicPr>
      <xdr:blipFill>
        <a:blip xmlns:r="http://schemas.openxmlformats.org/officeDocument/2006/relationships" r:embed="rId1"/>
        <a:stretch>
          <a:fillRect/>
        </a:stretch>
      </xdr:blipFill>
      <xdr:spPr>
        <a:xfrm>
          <a:off x="7611717" y="2459936"/>
          <a:ext cx="2702902" cy="107463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161925</xdr:colOff>
      <xdr:row>0</xdr:row>
      <xdr:rowOff>142875</xdr:rowOff>
    </xdr:from>
    <xdr:to>
      <xdr:col>7</xdr:col>
      <xdr:colOff>121627</xdr:colOff>
      <xdr:row>5</xdr:row>
      <xdr:rowOff>150710</xdr:rowOff>
    </xdr:to>
    <xdr:pic>
      <xdr:nvPicPr>
        <xdr:cNvPr id="10" name="Picture 9">
          <a:extLst>
            <a:ext uri="{FF2B5EF4-FFF2-40B4-BE49-F238E27FC236}">
              <a16:creationId xmlns:a16="http://schemas.microsoft.com/office/drawing/2014/main" id="{5E623E46-708B-43DB-A13D-794BA12B5E0C}"/>
            </a:ext>
          </a:extLst>
        </xdr:cNvPr>
        <xdr:cNvPicPr>
          <a:picLocks noChangeAspect="1"/>
        </xdr:cNvPicPr>
      </xdr:nvPicPr>
      <xdr:blipFill>
        <a:blip xmlns:r="http://schemas.openxmlformats.org/officeDocument/2006/relationships" r:embed="rId1"/>
        <a:stretch>
          <a:fillRect/>
        </a:stretch>
      </xdr:blipFill>
      <xdr:spPr>
        <a:xfrm>
          <a:off x="10868025" y="142875"/>
          <a:ext cx="2702902" cy="107463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146539</xdr:colOff>
      <xdr:row>0</xdr:row>
      <xdr:rowOff>131884</xdr:rowOff>
    </xdr:from>
    <xdr:to>
      <xdr:col>9</xdr:col>
      <xdr:colOff>632314</xdr:colOff>
      <xdr:row>6</xdr:row>
      <xdr:rowOff>41538</xdr:rowOff>
    </xdr:to>
    <xdr:pic>
      <xdr:nvPicPr>
        <xdr:cNvPr id="5" name="Picture 4">
          <a:extLst>
            <a:ext uri="{FF2B5EF4-FFF2-40B4-BE49-F238E27FC236}">
              <a16:creationId xmlns:a16="http://schemas.microsoft.com/office/drawing/2014/main" id="{A6D4AFD4-7656-4107-A4E1-F127008FF4BD}"/>
            </a:ext>
          </a:extLst>
        </xdr:cNvPr>
        <xdr:cNvPicPr>
          <a:picLocks noChangeAspect="1"/>
        </xdr:cNvPicPr>
      </xdr:nvPicPr>
      <xdr:blipFill>
        <a:blip xmlns:r="http://schemas.openxmlformats.org/officeDocument/2006/relationships" r:embed="rId1"/>
        <a:stretch>
          <a:fillRect/>
        </a:stretch>
      </xdr:blipFill>
      <xdr:spPr>
        <a:xfrm>
          <a:off x="9554308" y="131884"/>
          <a:ext cx="2702902" cy="107463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257736</xdr:colOff>
      <xdr:row>0</xdr:row>
      <xdr:rowOff>134471</xdr:rowOff>
    </xdr:from>
    <xdr:to>
      <xdr:col>6</xdr:col>
      <xdr:colOff>1784020</xdr:colOff>
      <xdr:row>5</xdr:row>
      <xdr:rowOff>234194</xdr:rowOff>
    </xdr:to>
    <xdr:pic>
      <xdr:nvPicPr>
        <xdr:cNvPr id="5" name="Picture 4">
          <a:extLst>
            <a:ext uri="{FF2B5EF4-FFF2-40B4-BE49-F238E27FC236}">
              <a16:creationId xmlns:a16="http://schemas.microsoft.com/office/drawing/2014/main" id="{C4DCC0C7-FF63-443B-AC61-BDD8DE9CD322}"/>
            </a:ext>
          </a:extLst>
        </xdr:cNvPr>
        <xdr:cNvPicPr>
          <a:picLocks noChangeAspect="1"/>
        </xdr:cNvPicPr>
      </xdr:nvPicPr>
      <xdr:blipFill>
        <a:blip xmlns:r="http://schemas.openxmlformats.org/officeDocument/2006/relationships" r:embed="rId1"/>
        <a:stretch>
          <a:fillRect/>
        </a:stretch>
      </xdr:blipFill>
      <xdr:spPr>
        <a:xfrm>
          <a:off x="10701618" y="134471"/>
          <a:ext cx="2702902" cy="107463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133350</xdr:colOff>
      <xdr:row>0</xdr:row>
      <xdr:rowOff>161925</xdr:rowOff>
    </xdr:from>
    <xdr:to>
      <xdr:col>7</xdr:col>
      <xdr:colOff>397852</xdr:colOff>
      <xdr:row>6</xdr:row>
      <xdr:rowOff>17360</xdr:rowOff>
    </xdr:to>
    <xdr:pic>
      <xdr:nvPicPr>
        <xdr:cNvPr id="6" name="Picture 5">
          <a:extLst>
            <a:ext uri="{FF2B5EF4-FFF2-40B4-BE49-F238E27FC236}">
              <a16:creationId xmlns:a16="http://schemas.microsoft.com/office/drawing/2014/main" id="{1F96C449-19DD-47AB-89BE-128E408B21E2}"/>
            </a:ext>
          </a:extLst>
        </xdr:cNvPr>
        <xdr:cNvPicPr>
          <a:picLocks noChangeAspect="1"/>
        </xdr:cNvPicPr>
      </xdr:nvPicPr>
      <xdr:blipFill>
        <a:blip xmlns:r="http://schemas.openxmlformats.org/officeDocument/2006/relationships" r:embed="rId1"/>
        <a:stretch>
          <a:fillRect/>
        </a:stretch>
      </xdr:blipFill>
      <xdr:spPr>
        <a:xfrm>
          <a:off x="7096125" y="161925"/>
          <a:ext cx="2702902" cy="107463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123825</xdr:colOff>
      <xdr:row>0</xdr:row>
      <xdr:rowOff>95250</xdr:rowOff>
    </xdr:from>
    <xdr:to>
      <xdr:col>9</xdr:col>
      <xdr:colOff>940777</xdr:colOff>
      <xdr:row>6</xdr:row>
      <xdr:rowOff>36410</xdr:rowOff>
    </xdr:to>
    <xdr:pic>
      <xdr:nvPicPr>
        <xdr:cNvPr id="5" name="Picture 4">
          <a:extLst>
            <a:ext uri="{FF2B5EF4-FFF2-40B4-BE49-F238E27FC236}">
              <a16:creationId xmlns:a16="http://schemas.microsoft.com/office/drawing/2014/main" id="{7237EA44-7ADA-4D08-888D-A3E8DBECD4B7}"/>
            </a:ext>
          </a:extLst>
        </xdr:cNvPr>
        <xdr:cNvPicPr>
          <a:picLocks noChangeAspect="1"/>
        </xdr:cNvPicPr>
      </xdr:nvPicPr>
      <xdr:blipFill>
        <a:blip xmlns:r="http://schemas.openxmlformats.org/officeDocument/2006/relationships" r:embed="rId1"/>
        <a:stretch>
          <a:fillRect/>
        </a:stretch>
      </xdr:blipFill>
      <xdr:spPr>
        <a:xfrm>
          <a:off x="7867650" y="95250"/>
          <a:ext cx="2702902" cy="10746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AL1001\Projects\Projects%20%23-G\C-CAG_TA\8.GHG_Inv\Mun_Inv_2015\Template_Municipal\2010_RedwoodCity_GovOps_Inventory_2016_5_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book Intro"/>
      <sheetName val="Report Charts and Tables"/>
      <sheetName val="Inventory Data Checklist"/>
      <sheetName val="Inventory Log"/>
      <sheetName val="Emissions Outputs, Summary"/>
      <sheetName val="Emissions Outputs, Detailed"/>
      <sheetName val="FA-Categories"/>
      <sheetName val="FA-All Account Summary"/>
      <sheetName val="FA-Utility Working Data"/>
      <sheetName val="FA-Utility Raw Data"/>
      <sheetName val="FA-Other Fuel Raw Data"/>
      <sheetName val="Buildings&amp;Facilities Final Data"/>
      <sheetName val="Buildings&amp;Facilit Working Data"/>
      <sheetName val="Public Lighting Final Data"/>
      <sheetName val="Public Lighting Working Data"/>
      <sheetName val="Water Transport Final Data"/>
      <sheetName val="Water Transport Working Data"/>
      <sheetName val="Port &amp; Marina Final Data"/>
      <sheetName val="Port &amp; Marina Working Data"/>
      <sheetName val="Airport Final Data"/>
      <sheetName val="Airport Working Data"/>
      <sheetName val="WW-Energy Use Final Data"/>
      <sheetName val="WW-Energy Use Working Data"/>
      <sheetName val="WW-Raw Data"/>
      <sheetName val="WW-Central. Trtment Final Data"/>
      <sheetName val="WW-Anaerobic Digester Final Dat"/>
      <sheetName val="WW-Lagoons Final Data"/>
      <sheetName val="WW-Septic Systems Final Data"/>
      <sheetName val="SWL-Energy Use Final Data"/>
      <sheetName val="SWL-Energy Use Working Data"/>
      <sheetName val="SWL-Landfill Final Data"/>
      <sheetName val="SWL-Landfill Raw Data"/>
      <sheetName val="MPG-Energy Use Final Data"/>
      <sheetName val="MPG-Energy Use Working Data"/>
      <sheetName val="MPG-CEMS Final Data"/>
      <sheetName val="MPG-Waste Fuels Final Data"/>
      <sheetName val="MPG-Emissions Factors"/>
      <sheetName val="MPG-SF6 Final Data"/>
      <sheetName val="MPG-T&amp;D Loss Final Data"/>
      <sheetName val="MPG-Fugitive CH4-N2O Data"/>
      <sheetName val="MPG-Emergency Gen. Final Data "/>
      <sheetName val="MPG-Raw Data"/>
      <sheetName val="VF-Detailed Fuel Final Data"/>
      <sheetName val="VF-Aggregate Fuel Final Data"/>
      <sheetName val="VF-VMT Final Data"/>
      <sheetName val="VF-Raw Data"/>
      <sheetName val="Transit Detailed Final Data"/>
      <sheetName val="Transit Aggregate Final Data"/>
      <sheetName val=" Transit VMT Final Data"/>
      <sheetName val="Transit Raw Data"/>
      <sheetName val="WG-Solid Waste Final Input Data"/>
      <sheetName val="WG-Solid Waste by Volume Data"/>
      <sheetName val="WG-Solid Waste by Weight Data"/>
      <sheetName val="WG-Self-Haul Waste Data"/>
      <sheetName val="WG-Solid Waste Factors"/>
      <sheetName val="WG-Solid Waste Raw Data"/>
      <sheetName val="EC-Emissions Final Data"/>
      <sheetName val="EC-Indicators Final Data"/>
      <sheetName val="EC-Working Data"/>
      <sheetName val="EC-Raw Data"/>
      <sheetName val="RF-FA Mass Balance Data"/>
      <sheetName val="RF-FA Simple Mass Balance "/>
      <sheetName val="RF-FA Default Emission Rates"/>
      <sheetName val="RF-VF Mass Balance Data"/>
      <sheetName val="RF-VF Default Emission Rates"/>
      <sheetName val="RF-Raw Data"/>
      <sheetName val="CS-Sector Explanation"/>
      <sheetName val="CS-Emissions Final Data"/>
      <sheetName val="CS-Indicators Final Data"/>
      <sheetName val="CS-Working Data"/>
      <sheetName val="CS-Raw Data"/>
      <sheetName val="Information Item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13">
          <cell r="C13">
            <v>87</v>
          </cell>
        </row>
      </sheetData>
      <sheetData sheetId="58"/>
      <sheetData sheetId="59"/>
      <sheetData sheetId="60"/>
      <sheetData sheetId="61"/>
      <sheetData sheetId="62">
        <row r="96">
          <cell r="E96" t="str">
            <v>Domestic Refrigeration</v>
          </cell>
        </row>
        <row r="97">
          <cell r="E97" t="str">
            <v>Stand-alone Commercial Applications</v>
          </cell>
        </row>
        <row r="98">
          <cell r="E98" t="str">
            <v>Medium &amp; Large Commercial Refrigeration</v>
          </cell>
        </row>
        <row r="99">
          <cell r="E99" t="str">
            <v>Industrial Refrigeration (including Food Processing and Cold Storage)</v>
          </cell>
        </row>
        <row r="100">
          <cell r="E100" t="str">
            <v>Chillers</v>
          </cell>
        </row>
        <row r="101">
          <cell r="E101" t="str">
            <v>Residential and Commercial A/C including Heat Pumps</v>
          </cell>
        </row>
      </sheetData>
      <sheetData sheetId="63"/>
      <sheetData sheetId="64"/>
      <sheetData sheetId="65"/>
      <sheetData sheetId="66"/>
      <sheetData sheetId="67"/>
      <sheetData sheetId="68"/>
      <sheetData sheetId="69"/>
      <sheetData sheetId="70"/>
      <sheetData sheetId="71"/>
    </sheetDataSet>
  </externalBook>
</externalLink>
</file>

<file path=xl/persons/person.xml><?xml version="1.0" encoding="utf-8"?>
<personList xmlns="http://schemas.microsoft.com/office/spreadsheetml/2018/threadedcomments" xmlns:x="http://schemas.openxmlformats.org/spreadsheetml/2006/main">
  <person displayName="Aki, Megan" id="{33086484-AE5D-4547-B513-8CB422F9F4AC}" userId="S::MAki@mapc.org::3d6ebde6-92b3-4744-86c7-35e7c69828b9" providerId="AD"/>
  <person displayName="Leahy, James" id="{1C70BA50-B315-4DD1-8EA5-966851F87199}" userId="S::Jim.Leahy@dnvgl.com::ada832f2-d3f4-42d4-908c-b70df93021cd" providerId="AD"/>
</personList>
</file>

<file path=xl/theme/theme1.xml><?xml version="1.0" encoding="utf-8"?>
<a:theme xmlns:a="http://schemas.openxmlformats.org/drawingml/2006/main" name="Office Theme">
  <a:themeElements>
    <a:clrScheme name="DNV powerpoint">
      <a:dk1>
        <a:srgbClr val="333333"/>
      </a:dk1>
      <a:lt1>
        <a:srgbClr val="FFFFFF"/>
      </a:lt1>
      <a:dk2>
        <a:srgbClr val="0F204B"/>
      </a:dk2>
      <a:lt2>
        <a:srgbClr val="C8C8C8"/>
      </a:lt2>
      <a:accent1>
        <a:srgbClr val="99D6F0"/>
      </a:accent1>
      <a:accent2>
        <a:srgbClr val="3F9C35"/>
      </a:accent2>
      <a:accent3>
        <a:srgbClr val="003591"/>
      </a:accent3>
      <a:accent4>
        <a:srgbClr val="009FDA"/>
      </a:accent4>
      <a:accent5>
        <a:srgbClr val="66C5E9"/>
      </a:accent5>
      <a:accent6>
        <a:srgbClr val="FECB00"/>
      </a:accent6>
      <a:hlink>
        <a:srgbClr val="003591"/>
      </a:hlink>
      <a:folHlink>
        <a:srgbClr val="6E509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70" dT="2020-03-20T19:09:17.57" personId="{1C70BA50-B315-4DD1-8EA5-966851F87199}" id="{D0947506-908D-4B38-A074-B878DB0C0261}">
    <text>Update note if default changes</text>
  </threadedComment>
  <threadedComment ref="C100" dT="2020-03-06T18:42:06.53" personId="{33086484-AE5D-4547-B513-8CB422F9F4AC}" id="{8E50B670-F86E-4B31-B3E6-ADF29A124324}">
    <text>Why 12%</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www.eia.gov/consumption/commercial/data/2003/" TargetMode="External"/><Relationship Id="rId13" Type="http://schemas.openxmlformats.org/officeDocument/2006/relationships/hyperlink" Target="https://lmi.dua.eol.mass.gov/lmi/EmploymentAndWages" TargetMode="External"/><Relationship Id="rId18" Type="http://schemas.openxmlformats.org/officeDocument/2006/relationships/drawing" Target="../drawings/drawing5.xml"/><Relationship Id="rId3" Type="http://schemas.openxmlformats.org/officeDocument/2006/relationships/hyperlink" Target="https://www.eia.gov/consumption/residential/data/2009/index.php?view=characteristics" TargetMode="External"/><Relationship Id="rId7" Type="http://schemas.openxmlformats.org/officeDocument/2006/relationships/hyperlink" Target="https://www.eia.gov/consumption/commercial/data/2012/index.php?view=consumption" TargetMode="External"/><Relationship Id="rId12" Type="http://schemas.openxmlformats.org/officeDocument/2006/relationships/hyperlink" Target="https://lmi.dua.eol.mass.gov/lmi/EmploymentAndWages" TargetMode="External"/><Relationship Id="rId17" Type="http://schemas.openxmlformats.org/officeDocument/2006/relationships/printerSettings" Target="../printerSettings/printerSettings10.bin"/><Relationship Id="rId2" Type="http://schemas.openxmlformats.org/officeDocument/2006/relationships/hyperlink" Target="https://www.eia.gov/consumption/residential/data/2009/index.php?view=consumption" TargetMode="External"/><Relationship Id="rId16" Type="http://schemas.openxmlformats.org/officeDocument/2006/relationships/hyperlink" Target="https://www.eia.gov/consumption/manufacturing/data/2014/" TargetMode="External"/><Relationship Id="rId1" Type="http://schemas.openxmlformats.org/officeDocument/2006/relationships/hyperlink" Target="https://www.eia.gov/consumption/residential/data/2015/c&amp;e/pdf/ce2.1.pdf" TargetMode="External"/><Relationship Id="rId6" Type="http://schemas.openxmlformats.org/officeDocument/2006/relationships/hyperlink" Target="https://lmi.dua.eol.mass.gov/lmi/EmploymentAndWages" TargetMode="External"/><Relationship Id="rId11" Type="http://schemas.openxmlformats.org/officeDocument/2006/relationships/hyperlink" Target="https://www.eia.gov/electricity/state/massachusetts/" TargetMode="External"/><Relationship Id="rId5" Type="http://schemas.openxmlformats.org/officeDocument/2006/relationships/hyperlink" Target="https://factfinder.census.gov/faces/nav/jsf/pages/index.xhtml" TargetMode="External"/><Relationship Id="rId15" Type="http://schemas.openxmlformats.org/officeDocument/2006/relationships/hyperlink" Target="https://www.eia.gov/consumption/manufacturing/data/2014/" TargetMode="External"/><Relationship Id="rId10" Type="http://schemas.openxmlformats.org/officeDocument/2006/relationships/hyperlink" Target="http://www.pnas.org/content/112/7/1941.full.pdf" TargetMode="External"/><Relationship Id="rId4" Type="http://schemas.openxmlformats.org/officeDocument/2006/relationships/hyperlink" Target="https://factfinder.census.gov/faces/nav/jsf/pages/index.xhtml" TargetMode="External"/><Relationship Id="rId9" Type="http://schemas.openxmlformats.org/officeDocument/2006/relationships/hyperlink" Target="http://insideevs.com/most-electric-vehicle-owners-charge-at-home-in-other-news-the-sky-is-blue/" TargetMode="External"/><Relationship Id="rId14" Type="http://schemas.openxmlformats.org/officeDocument/2006/relationships/hyperlink" Target="https://www.eia.gov/consumption/manufacturing/data/2014/"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1.bin"/><Relationship Id="rId1" Type="http://schemas.openxmlformats.org/officeDocument/2006/relationships/hyperlink" Target="https://www.epa.gov/moves"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2.bin"/><Relationship Id="rId1" Type="http://schemas.openxmlformats.org/officeDocument/2006/relationships/hyperlink" Target="https://www.epa.gov/ghgreporting/ghg-reporting-program-data-sets"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hyperlink" Target="https://www.fueleconomy.gov/feg/noframes/39860.shtml" TargetMode="External"/><Relationship Id="rId3" Type="http://schemas.openxmlformats.org/officeDocument/2006/relationships/hyperlink" Target="https://www.fueleconomy.gov/feg/Find.do?action=sbs&amp;id=39190" TargetMode="External"/><Relationship Id="rId7" Type="http://schemas.openxmlformats.org/officeDocument/2006/relationships/hyperlink" Target="https://www.fueleconomy.gov/feg/Find.do?action=sbs&amp;id=39786" TargetMode="External"/><Relationship Id="rId12" Type="http://schemas.openxmlformats.org/officeDocument/2006/relationships/comments" Target="../comments2.xml"/><Relationship Id="rId2" Type="http://schemas.openxmlformats.org/officeDocument/2006/relationships/hyperlink" Target="https://www.fueleconomy.gov/feg/Find.do?action=sbs&amp;id=39882" TargetMode="External"/><Relationship Id="rId1" Type="http://schemas.openxmlformats.org/officeDocument/2006/relationships/hyperlink" Target="https://www.eia.gov/electricity/state/massachusetts/" TargetMode="External"/><Relationship Id="rId6" Type="http://schemas.openxmlformats.org/officeDocument/2006/relationships/hyperlink" Target="https://www.fueleconomy.gov/feg/noframes/39840.shtml" TargetMode="External"/><Relationship Id="rId11" Type="http://schemas.openxmlformats.org/officeDocument/2006/relationships/vmlDrawing" Target="../drawings/vmlDrawing2.vml"/><Relationship Id="rId5" Type="http://schemas.openxmlformats.org/officeDocument/2006/relationships/hyperlink" Target="https://www.fueleconomy.gov/feg/PowerSearch.do?action=noform&amp;path=1&amp;year1=2018&amp;year2=2018&amp;make=Tesla&amp;baseModel=Model%203&amp;srchtyp=ymm" TargetMode="External"/><Relationship Id="rId10" Type="http://schemas.openxmlformats.org/officeDocument/2006/relationships/drawing" Target="../drawings/drawing8.xml"/><Relationship Id="rId4" Type="http://schemas.openxmlformats.org/officeDocument/2006/relationships/hyperlink" Target="https://fueleconomy.gov/feg/bymodel/2018_Tesla_Model_X.shtml" TargetMode="External"/><Relationship Id="rId9"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5.bin"/><Relationship Id="rId1" Type="http://schemas.openxmlformats.org/officeDocument/2006/relationships/hyperlink" Target="https://www.eia.gov/electricity/state/massachusetts/"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s://www.mass.gov/guides/solid-waste-master-plan" TargetMode="External"/><Relationship Id="rId1" Type="http://schemas.openxmlformats.org/officeDocument/2006/relationships/hyperlink" Target="https://www.mass.gov/files/documents/2018/12/11/17swdata.pdf" TargetMode="External"/><Relationship Id="rId4" Type="http://schemas.openxmlformats.org/officeDocument/2006/relationships/drawing" Target="../drawings/drawing10.xm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8.bin"/><Relationship Id="rId1" Type="http://schemas.openxmlformats.org/officeDocument/2006/relationships/hyperlink" Target="https://www.mass.gov/guides/solid-waste-master-plan" TargetMode="Externa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www.mass.gov/eea/agencies/massdep/recycle/solid/wheelabrator-saugus-technical-profile.html" TargetMode="External"/><Relationship Id="rId1" Type="http://schemas.openxmlformats.org/officeDocument/2006/relationships/hyperlink" Target="http://www.ipcc-nggip.iges.or.jp/public/2006gl/pdf/5_Volume5/V5_2_Ch2_Waste_Data.pdf" TargetMode="External"/><Relationship Id="rId4"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8" Type="http://schemas.openxmlformats.org/officeDocument/2006/relationships/hyperlink" Target="https://datacommon.mapc.org/browser/datasets/412" TargetMode="External"/><Relationship Id="rId13" Type="http://schemas.openxmlformats.org/officeDocument/2006/relationships/hyperlink" Target="https://data.census.gov/cedsci/" TargetMode="External"/><Relationship Id="rId3" Type="http://schemas.openxmlformats.org/officeDocument/2006/relationships/hyperlink" Target="https://datacommon.mapc.org/browser/datasets/211" TargetMode="External"/><Relationship Id="rId7" Type="http://schemas.openxmlformats.org/officeDocument/2006/relationships/hyperlink" Target="https://datacommon.mapc.org/browser/datasets/408?max=200&amp;min=150" TargetMode="External"/><Relationship Id="rId12" Type="http://schemas.openxmlformats.org/officeDocument/2006/relationships/hyperlink" Target="https://www.massenergyinsight.net/home" TargetMode="External"/><Relationship Id="rId2" Type="http://schemas.openxmlformats.org/officeDocument/2006/relationships/hyperlink" Target="https://www.masssavedata.com/public/home" TargetMode="External"/><Relationship Id="rId16" Type="http://schemas.openxmlformats.org/officeDocument/2006/relationships/drawing" Target="../drawings/drawing2.xml"/><Relationship Id="rId1" Type="http://schemas.openxmlformats.org/officeDocument/2006/relationships/hyperlink" Target="https://lmi.dua.eol.mass.gov/lmi/EmploymentAndWages" TargetMode="External"/><Relationship Id="rId6" Type="http://schemas.openxmlformats.org/officeDocument/2006/relationships/hyperlink" Target="https://datacommon.mapc.org/browser/datasets/408?max=200&amp;min=150" TargetMode="External"/><Relationship Id="rId11" Type="http://schemas.openxmlformats.org/officeDocument/2006/relationships/hyperlink" Target="https://datacommon.mapc.org/browser/datasets/410" TargetMode="External"/><Relationship Id="rId5" Type="http://schemas.openxmlformats.org/officeDocument/2006/relationships/hyperlink" Target="https://datacommon.mapc.org/browser/datasets/316" TargetMode="External"/><Relationship Id="rId15" Type="http://schemas.openxmlformats.org/officeDocument/2006/relationships/printerSettings" Target="../printerSettings/printerSettings2.bin"/><Relationship Id="rId10" Type="http://schemas.openxmlformats.org/officeDocument/2006/relationships/hyperlink" Target="https://datacommon.mapc.org/browser/datasets/411" TargetMode="External"/><Relationship Id="rId4" Type="http://schemas.openxmlformats.org/officeDocument/2006/relationships/hyperlink" Target="https://datacommon.mapc.org/browser/datasets/191" TargetMode="External"/><Relationship Id="rId9" Type="http://schemas.openxmlformats.org/officeDocument/2006/relationships/hyperlink" Target="https://www.massenergyinsight.net/home" TargetMode="External"/><Relationship Id="rId14" Type="http://schemas.openxmlformats.org/officeDocument/2006/relationships/hyperlink" Target="https://data.census.gov/cedsci/" TargetMode="Externa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s://www.mass.gov/files/documents/2016/11/xv/gwsa-update-16.pdf" TargetMode="External"/><Relationship Id="rId1" Type="http://schemas.openxmlformats.org/officeDocument/2006/relationships/hyperlink" Target="https://www.epa.gov/sites/production/files/2019-04/documents/us-ghg-inventory-2019-main-text.pdf" TargetMode="External"/><Relationship Id="rId4" Type="http://schemas.openxmlformats.org/officeDocument/2006/relationships/drawing" Target="../drawings/drawing13.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theclimateregistry.org/tools-resources/reporting-protocols/general-reporting-protocol/" TargetMode="External"/><Relationship Id="rId13" Type="http://schemas.openxmlformats.org/officeDocument/2006/relationships/printerSettings" Target="../printerSettings/printerSettings3.bin"/><Relationship Id="rId3" Type="http://schemas.openxmlformats.org/officeDocument/2006/relationships/hyperlink" Target="https://www.eia.gov/electricity/state/massachusetts/" TargetMode="External"/><Relationship Id="rId7" Type="http://schemas.openxmlformats.org/officeDocument/2006/relationships/hyperlink" Target="https://www.fueleconomy.gov/" TargetMode="External"/><Relationship Id="rId12" Type="http://schemas.openxmlformats.org/officeDocument/2006/relationships/hyperlink" Target="https://www.mass.gov/service-details/annual-compliance-information-for-retail-electric-suppliers" TargetMode="External"/><Relationship Id="rId2" Type="http://schemas.openxmlformats.org/officeDocument/2006/relationships/hyperlink" Target="https://www.mass.gov/doc/2017-summary-massachusetts-ghg-emissions-reports-for-retail-sellers-of-electricity/download" TargetMode="External"/><Relationship Id="rId1" Type="http://schemas.openxmlformats.org/officeDocument/2006/relationships/hyperlink" Target="https://www.mass.gov/guides/massdep-greenhouse-gas-emissions-reporting-program" TargetMode="External"/><Relationship Id="rId6" Type="http://schemas.openxmlformats.org/officeDocument/2006/relationships/hyperlink" Target="https://www.mass.gov/files/documents/2016/11/xv/gwsa-update-16.pdf" TargetMode="External"/><Relationship Id="rId11" Type="http://schemas.openxmlformats.org/officeDocument/2006/relationships/hyperlink" Target="https://www.ghgprotocol.org/sites/default/files/ghgp/Global-Warming-Potential-Values%20%28Feb%2016%202016%29_1.pdf" TargetMode="External"/><Relationship Id="rId5" Type="http://schemas.openxmlformats.org/officeDocument/2006/relationships/hyperlink" Target="https://www.epa.gov/ghgemissions/inventory-us-greenhouse-gas-emissions-and-sinks" TargetMode="External"/><Relationship Id="rId10" Type="http://schemas.openxmlformats.org/officeDocument/2006/relationships/hyperlink" Target="https://www.theclimateregistry.org/tools-resources/reporting-protocols/general-reporting-protocol/" TargetMode="External"/><Relationship Id="rId4" Type="http://schemas.openxmlformats.org/officeDocument/2006/relationships/hyperlink" Target="https://www.mass.gov/guides/solid-waste-master-plan" TargetMode="External"/><Relationship Id="rId9" Type="http://schemas.openxmlformats.org/officeDocument/2006/relationships/hyperlink" Target="https://www.epa.gov/climateleadership/center-corporate-climate-leadership-ghg-emission-factors-hub"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epa.gov/ghgemissions/inventory-us-greenhouse-gas-emissions-and-sinks-1990-2013" TargetMode="External"/><Relationship Id="rId13" Type="http://schemas.openxmlformats.org/officeDocument/2006/relationships/hyperlink" Target="https://www.mass.gov/service-details/program-summaries" TargetMode="External"/><Relationship Id="rId18" Type="http://schemas.openxmlformats.org/officeDocument/2006/relationships/printerSettings" Target="../printerSettings/printerSettings8.bin"/><Relationship Id="rId3" Type="http://schemas.openxmlformats.org/officeDocument/2006/relationships/hyperlink" Target="https://www.theclimateregistry.org/wp-content/uploads/2016/03/2015-TCR-Default-EFs.pdf" TargetMode="External"/><Relationship Id="rId21" Type="http://schemas.openxmlformats.org/officeDocument/2006/relationships/comments" Target="../comments1.xml"/><Relationship Id="rId7" Type="http://schemas.openxmlformats.org/officeDocument/2006/relationships/hyperlink" Target="https://www.theclimateregistry.org/wp-content/uploads/2016/03/2015-TCR-Default-EFs.pdf" TargetMode="External"/><Relationship Id="rId12" Type="http://schemas.openxmlformats.org/officeDocument/2006/relationships/hyperlink" Target="https://www.mass.gov/doc/2017-summary-massachusetts-ghg-emissions-reports-for-retail-sellers-of-electricity/download" TargetMode="External"/><Relationship Id="rId17" Type="http://schemas.openxmlformats.org/officeDocument/2006/relationships/hyperlink" Target="https://www.mass.gov/doc/2017-summary-massachusetts-ghg-emissions-reports-for-retail-sellers-of-electricity/download" TargetMode="External"/><Relationship Id="rId2" Type="http://schemas.openxmlformats.org/officeDocument/2006/relationships/hyperlink" Target="https://www.theclimateregistry.org/wp-content/uploads/2016/03/2015-TCR-Default-EFs.pdf" TargetMode="External"/><Relationship Id="rId16" Type="http://schemas.openxmlformats.org/officeDocument/2006/relationships/hyperlink" Target="https://www.mass.gov/doc/2017-summary-massachusetts-ghg-emissions-reports-for-retail-sellers-of-electricity/download" TargetMode="External"/><Relationship Id="rId20" Type="http://schemas.openxmlformats.org/officeDocument/2006/relationships/vmlDrawing" Target="../drawings/vmlDrawing1.vml"/><Relationship Id="rId1" Type="http://schemas.openxmlformats.org/officeDocument/2006/relationships/hyperlink" Target="https://www.theclimateregistry.org/wp-content/uploads/2016/03/2015-TCR-Default-EFs.pdf" TargetMode="External"/><Relationship Id="rId6" Type="http://schemas.openxmlformats.org/officeDocument/2006/relationships/hyperlink" Target="https://www.theclimateregistry.org/wp-content/uploads/2016/03/2015-TCR-Default-EFs.pdf" TargetMode="External"/><Relationship Id="rId11" Type="http://schemas.openxmlformats.org/officeDocument/2006/relationships/hyperlink" Target="https://www.mass.gov/doc/2017-summary-massachusetts-ghg-emissions-reports-for-retail-sellers-of-electricity/download" TargetMode="External"/><Relationship Id="rId5" Type="http://schemas.openxmlformats.org/officeDocument/2006/relationships/hyperlink" Target="https://www.epa.gov/sites/production/files/2015-07/documents/emission-factors_2014.pdf" TargetMode="External"/><Relationship Id="rId15" Type="http://schemas.openxmlformats.org/officeDocument/2006/relationships/hyperlink" Target="https://ghgprotocol.org/sites/default/files/ghgp/Potential%20emissions%20(Second%20draft).pdf" TargetMode="External"/><Relationship Id="rId10" Type="http://schemas.openxmlformats.org/officeDocument/2006/relationships/hyperlink" Target="https://www.epa.gov/ghgemissions/inventory-us-greenhouse-gas-emissions-and-sinks-1990-2013" TargetMode="External"/><Relationship Id="rId19" Type="http://schemas.openxmlformats.org/officeDocument/2006/relationships/drawing" Target="../drawings/drawing4.xml"/><Relationship Id="rId4" Type="http://schemas.openxmlformats.org/officeDocument/2006/relationships/hyperlink" Target="https://www.ghgprotocol.org/sites/default/files/ghgp/Global-Warming-Potential-Values%20%28Feb%2016%202016%29_1.pdf" TargetMode="External"/><Relationship Id="rId9" Type="http://schemas.openxmlformats.org/officeDocument/2006/relationships/hyperlink" Target="https://www.theclimateregistry.org/wp-content/uploads/2016/03/2015-TCR-Default-EFs.pdf" TargetMode="External"/><Relationship Id="rId14" Type="http://schemas.openxmlformats.org/officeDocument/2006/relationships/hyperlink" Target="https://www.mass.gov/doc/2017-summary-massachusetts-ghg-emissions-reports-for-retail-sellers-of-electricity/download" TargetMode="External"/><Relationship Id="rId22" Type="http://schemas.microsoft.com/office/2017/10/relationships/threadedComment" Target="../threadedComments/threadedComment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M47"/>
  <sheetViews>
    <sheetView showGridLines="0" zoomScale="115" zoomScaleNormal="115" workbookViewId="0">
      <selection activeCell="P13" sqref="P13"/>
    </sheetView>
  </sheetViews>
  <sheetFormatPr defaultColWidth="8.85546875" defaultRowHeight="12.75" x14ac:dyDescent="0.2"/>
  <cols>
    <col min="1" max="1" width="2.42578125" style="6" customWidth="1"/>
    <col min="2" max="2" width="8.85546875" style="6" customWidth="1"/>
    <col min="3" max="16384" width="8.85546875" style="6"/>
  </cols>
  <sheetData>
    <row r="1" spans="2:2" s="28" customFormat="1" x14ac:dyDescent="0.2"/>
    <row r="2" spans="2:2" s="28" customFormat="1" x14ac:dyDescent="0.2"/>
    <row r="3" spans="2:2" s="28" customFormat="1" x14ac:dyDescent="0.2"/>
    <row r="4" spans="2:2" ht="36.75" customHeight="1" x14ac:dyDescent="0.2"/>
    <row r="5" spans="2:2" ht="23.25" x14ac:dyDescent="0.35">
      <c r="B5" s="36" t="s">
        <v>1545</v>
      </c>
    </row>
    <row r="38" spans="2:13" ht="13.5" thickBot="1" x14ac:dyDescent="0.25"/>
    <row r="39" spans="2:13" ht="13.5" thickBot="1" x14ac:dyDescent="0.25">
      <c r="B39" s="1603" t="s">
        <v>1472</v>
      </c>
    </row>
    <row r="40" spans="2:13" ht="15" customHeight="1" thickBot="1" x14ac:dyDescent="0.25">
      <c r="B40" s="1604" t="s">
        <v>1469</v>
      </c>
      <c r="C40" s="1605"/>
      <c r="D40" s="1605"/>
      <c r="E40" s="1605"/>
      <c r="F40" s="1943" t="s">
        <v>1470</v>
      </c>
      <c r="G40" s="1944"/>
      <c r="H40" s="1944"/>
      <c r="I40" s="1944"/>
      <c r="J40" s="1944"/>
      <c r="K40" s="1944"/>
      <c r="L40" s="1944"/>
      <c r="M40" s="1945"/>
    </row>
    <row r="41" spans="2:13" ht="107.25" customHeight="1" x14ac:dyDescent="0.2">
      <c r="B41" s="1595" t="s">
        <v>1464</v>
      </c>
      <c r="C41" s="1596"/>
      <c r="D41" s="1596"/>
      <c r="E41" s="1596"/>
      <c r="F41" s="1946" t="s">
        <v>1703</v>
      </c>
      <c r="G41" s="1947"/>
      <c r="H41" s="1947"/>
      <c r="I41" s="1947"/>
      <c r="J41" s="1947"/>
      <c r="K41" s="1947"/>
      <c r="L41" s="1947"/>
      <c r="M41" s="1948"/>
    </row>
    <row r="42" spans="2:13" ht="15" customHeight="1" x14ac:dyDescent="0.2">
      <c r="B42" s="1597" t="s">
        <v>1465</v>
      </c>
      <c r="C42" s="1598"/>
      <c r="D42" s="1598"/>
      <c r="E42" s="1598"/>
      <c r="F42" s="1940" t="s">
        <v>586</v>
      </c>
      <c r="G42" s="1941"/>
      <c r="H42" s="1941"/>
      <c r="I42" s="1941"/>
      <c r="J42" s="1941"/>
      <c r="K42" s="1941"/>
      <c r="L42" s="1941"/>
      <c r="M42" s="1942"/>
    </row>
    <row r="43" spans="2:13" ht="15" customHeight="1" x14ac:dyDescent="0.2">
      <c r="B43" s="1704" t="s">
        <v>1466</v>
      </c>
      <c r="C43" s="1689"/>
      <c r="D43" s="1689"/>
      <c r="E43" s="1689"/>
      <c r="F43" s="1949" t="s">
        <v>1237</v>
      </c>
      <c r="G43" s="1950"/>
      <c r="H43" s="1950"/>
      <c r="I43" s="1950"/>
      <c r="J43" s="1950"/>
      <c r="K43" s="1950"/>
      <c r="L43" s="1950"/>
      <c r="M43" s="1951"/>
    </row>
    <row r="44" spans="2:13" s="28" customFormat="1" ht="29.25" customHeight="1" x14ac:dyDescent="0.2">
      <c r="B44" s="1599" t="s">
        <v>1544</v>
      </c>
      <c r="C44" s="1600"/>
      <c r="D44" s="1600"/>
      <c r="E44" s="1705"/>
      <c r="F44" s="1955" t="s">
        <v>1072</v>
      </c>
      <c r="G44" s="1956"/>
      <c r="H44" s="1956"/>
      <c r="I44" s="1956"/>
      <c r="J44" s="1956"/>
      <c r="K44" s="1956"/>
      <c r="L44" s="1956"/>
      <c r="M44" s="1957"/>
    </row>
    <row r="45" spans="2:13" ht="15" customHeight="1" x14ac:dyDescent="0.2">
      <c r="B45" s="1688" t="s">
        <v>1467</v>
      </c>
      <c r="C45" s="1689"/>
      <c r="D45" s="1689"/>
      <c r="E45" s="1689"/>
      <c r="F45" s="1949" t="s">
        <v>1418</v>
      </c>
      <c r="G45" s="1950"/>
      <c r="H45" s="1950"/>
      <c r="I45" s="1950"/>
      <c r="J45" s="1950"/>
      <c r="K45" s="1950"/>
      <c r="L45" s="1950"/>
      <c r="M45" s="1951"/>
    </row>
    <row r="46" spans="2:13" ht="30" customHeight="1" thickBot="1" x14ac:dyDescent="0.25">
      <c r="B46" s="1601"/>
      <c r="C46" s="1602"/>
      <c r="D46" s="1602"/>
      <c r="E46" s="1602"/>
      <c r="F46" s="1952" t="s">
        <v>1471</v>
      </c>
      <c r="G46" s="1953"/>
      <c r="H46" s="1953"/>
      <c r="I46" s="1953"/>
      <c r="J46" s="1953"/>
      <c r="K46" s="1953"/>
      <c r="L46" s="1953"/>
      <c r="M46" s="1954"/>
    </row>
    <row r="47" spans="2:13" x14ac:dyDescent="0.2">
      <c r="B47" s="28" t="s">
        <v>1468</v>
      </c>
    </row>
  </sheetData>
  <mergeCells count="7">
    <mergeCell ref="F42:M42"/>
    <mergeCell ref="F40:M40"/>
    <mergeCell ref="F41:M41"/>
    <mergeCell ref="F45:M45"/>
    <mergeCell ref="F46:M46"/>
    <mergeCell ref="F43:M43"/>
    <mergeCell ref="F44:M44"/>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39997558519241921"/>
  </sheetPr>
  <dimension ref="A1:CE598"/>
  <sheetViews>
    <sheetView showGridLines="0" topLeftCell="A211" zoomScaleNormal="100" workbookViewId="0">
      <selection activeCell="B211" sqref="B211"/>
    </sheetView>
  </sheetViews>
  <sheetFormatPr defaultRowHeight="12.75" x14ac:dyDescent="0.2"/>
  <cols>
    <col min="1" max="1" width="2.5703125" style="1" customWidth="1"/>
    <col min="2" max="2" width="40" style="1" customWidth="1"/>
    <col min="3" max="3" width="37.28515625" style="1" customWidth="1"/>
    <col min="4" max="4" width="39.85546875" style="1" customWidth="1"/>
    <col min="5" max="5" width="40.85546875" style="1" customWidth="1"/>
    <col min="6" max="9" width="20.5703125" style="1" customWidth="1"/>
    <col min="10" max="10" width="22.85546875" style="1" bestFit="1" customWidth="1"/>
    <col min="11" max="11" width="17.42578125" style="1" customWidth="1"/>
    <col min="12" max="15" width="14" style="1" customWidth="1"/>
    <col min="16" max="16" width="12.140625" style="1" customWidth="1"/>
    <col min="17" max="17" width="10.85546875" style="1" customWidth="1"/>
    <col min="18" max="18" width="16" style="1" customWidth="1"/>
    <col min="19" max="19" width="14.85546875" style="1" customWidth="1"/>
    <col min="20" max="20" width="9.28515625" style="1" customWidth="1"/>
    <col min="21" max="21" width="14" style="1" customWidth="1"/>
    <col min="22" max="22" width="9.28515625" style="1" customWidth="1"/>
    <col min="23" max="23" width="14.28515625" style="1" hidden="1" customWidth="1"/>
    <col min="24" max="24" width="12.5703125" style="1" customWidth="1"/>
    <col min="25" max="25" width="16" style="1" customWidth="1"/>
    <col min="26" max="26" width="10.140625" style="1" customWidth="1"/>
    <col min="27" max="28" width="9.140625" style="1" customWidth="1"/>
    <col min="29" max="29" width="12.42578125" style="1" customWidth="1"/>
    <col min="30" max="30" width="9.28515625" style="1" customWidth="1"/>
    <col min="31" max="33" width="9.140625" style="1" customWidth="1"/>
    <col min="34" max="34" width="12" style="1" customWidth="1"/>
    <col min="35" max="35" width="10.85546875" style="1" customWidth="1"/>
    <col min="36" max="36" width="10.5703125" style="1" customWidth="1"/>
    <col min="37" max="37" width="10.7109375" style="1" customWidth="1"/>
    <col min="38" max="38" width="9.140625" style="1" customWidth="1"/>
    <col min="39" max="42" width="9.140625" style="13"/>
    <col min="43" max="43" width="31.7109375" style="13" customWidth="1"/>
    <col min="44" max="44" width="14" style="13" customWidth="1"/>
    <col min="45" max="45" width="16.140625" style="13" customWidth="1"/>
    <col min="46" max="46" width="16.5703125" style="13" customWidth="1"/>
    <col min="47" max="49" width="14.85546875" style="13" customWidth="1"/>
    <col min="50" max="50" width="13.28515625" style="13" customWidth="1"/>
    <col min="51" max="51" width="14.85546875" style="13" customWidth="1"/>
    <col min="52" max="83" width="9.140625" style="13"/>
    <col min="84" max="16384" width="9.140625" style="1"/>
  </cols>
  <sheetData>
    <row r="1" spans="1:12" ht="15.75" thickBot="1" x14ac:dyDescent="0.3">
      <c r="A1" s="86"/>
      <c r="B1" s="86"/>
      <c r="C1" s="43"/>
      <c r="D1" s="43"/>
      <c r="E1" s="43"/>
      <c r="F1" s="13"/>
      <c r="G1" s="13"/>
      <c r="H1" s="13"/>
      <c r="I1" s="13"/>
      <c r="J1" s="13"/>
      <c r="K1" s="13"/>
    </row>
    <row r="2" spans="1:12" s="13" customFormat="1" ht="24" thickBot="1" x14ac:dyDescent="0.4">
      <c r="B2" s="2185" t="s">
        <v>1443</v>
      </c>
      <c r="C2" s="2186"/>
      <c r="D2" s="2186"/>
      <c r="E2" s="1966"/>
      <c r="F2" s="80"/>
      <c r="G2" s="80"/>
      <c r="H2" s="51"/>
      <c r="I2" s="51"/>
      <c r="J2" s="41"/>
    </row>
    <row r="3" spans="1:12" s="13" customFormat="1" ht="13.5" customHeight="1" x14ac:dyDescent="0.35">
      <c r="B3" s="224" t="s">
        <v>247</v>
      </c>
      <c r="C3" s="2230" t="s">
        <v>195</v>
      </c>
      <c r="D3" s="2267"/>
      <c r="E3" s="2268"/>
      <c r="F3" s="80"/>
      <c r="G3" s="80"/>
      <c r="H3" s="77"/>
      <c r="I3" s="77"/>
      <c r="J3" s="114"/>
    </row>
    <row r="4" spans="1:12" s="13" customFormat="1" ht="13.5" customHeight="1" thickBot="1" x14ac:dyDescent="0.4">
      <c r="B4" s="225" t="s">
        <v>251</v>
      </c>
      <c r="C4" s="2269" t="s">
        <v>254</v>
      </c>
      <c r="D4" s="2113"/>
      <c r="E4" s="2270"/>
      <c r="F4" s="80"/>
      <c r="G4" s="80"/>
      <c r="H4" s="77"/>
      <c r="I4" s="77"/>
      <c r="J4" s="114"/>
    </row>
    <row r="5" spans="1:12" s="13" customFormat="1" ht="17.25" customHeight="1" thickBot="1" x14ac:dyDescent="0.4">
      <c r="B5" s="80"/>
      <c r="C5" s="80"/>
      <c r="D5" s="80"/>
      <c r="E5" s="80"/>
      <c r="F5" s="80"/>
      <c r="G5" s="80"/>
      <c r="H5" s="77"/>
      <c r="I5" s="77"/>
      <c r="J5" s="114"/>
    </row>
    <row r="6" spans="1:12" s="13" customFormat="1" ht="19.5" customHeight="1" thickBot="1" x14ac:dyDescent="0.4">
      <c r="B6" s="1968" t="s">
        <v>91</v>
      </c>
      <c r="C6" s="2261"/>
      <c r="D6" s="2261"/>
      <c r="E6" s="2262"/>
      <c r="F6" s="76"/>
      <c r="G6" s="76"/>
      <c r="H6" s="77"/>
      <c r="I6" s="77"/>
      <c r="J6" s="78"/>
    </row>
    <row r="7" spans="1:12" s="13" customFormat="1" ht="69" customHeight="1" thickBot="1" x14ac:dyDescent="0.25">
      <c r="B7" s="2093" t="s">
        <v>1178</v>
      </c>
      <c r="C7" s="2259"/>
      <c r="D7" s="2259"/>
      <c r="E7" s="2260"/>
      <c r="F7" s="85"/>
      <c r="G7" s="85"/>
      <c r="H7" s="52"/>
      <c r="I7" s="52"/>
      <c r="J7" s="42"/>
      <c r="K7" s="42"/>
      <c r="L7" s="42"/>
    </row>
    <row r="8" spans="1:12" s="13" customFormat="1" ht="13.5" customHeight="1" thickBot="1" x14ac:dyDescent="0.25">
      <c r="B8" s="15"/>
      <c r="C8" s="15"/>
      <c r="D8" s="15"/>
      <c r="E8" s="15"/>
      <c r="F8" s="15"/>
      <c r="G8" s="15"/>
      <c r="H8" s="15"/>
      <c r="I8" s="15"/>
    </row>
    <row r="9" spans="1:12" s="13" customFormat="1" ht="15" customHeight="1" thickBot="1" x14ac:dyDescent="0.25">
      <c r="B9" s="2009" t="s">
        <v>573</v>
      </c>
      <c r="C9" s="2010"/>
      <c r="D9" s="2010"/>
      <c r="E9" s="2010"/>
      <c r="F9" s="2010"/>
      <c r="G9" s="2010"/>
      <c r="H9" s="2010"/>
      <c r="I9" s="2011"/>
    </row>
    <row r="10" spans="1:12" s="13" customFormat="1" ht="48" customHeight="1" thickBot="1" x14ac:dyDescent="0.25">
      <c r="B10" s="96" t="s">
        <v>85</v>
      </c>
      <c r="C10" s="97" t="s">
        <v>97</v>
      </c>
      <c r="D10" s="134" t="s">
        <v>96</v>
      </c>
      <c r="E10" s="134" t="s">
        <v>259</v>
      </c>
      <c r="F10" s="129" t="s">
        <v>341</v>
      </c>
      <c r="G10" s="134" t="s">
        <v>342</v>
      </c>
      <c r="H10" s="134" t="s">
        <v>343</v>
      </c>
      <c r="I10" s="135" t="s">
        <v>290</v>
      </c>
    </row>
    <row r="11" spans="1:12" s="13" customFormat="1" x14ac:dyDescent="0.2">
      <c r="B11" s="2263" t="s">
        <v>196</v>
      </c>
      <c r="C11" s="94" t="s">
        <v>390</v>
      </c>
      <c r="D11" s="1023">
        <f>(Inputs!C32*'Emission Factors'!$D$141)-'Stationary Energy - Buildings'!D12</f>
        <v>0</v>
      </c>
      <c r="E11" s="1023">
        <f>Inputs!D32</f>
        <v>0</v>
      </c>
      <c r="F11" s="900">
        <f>D11*'Emission Factors'!$G$38</f>
        <v>0</v>
      </c>
      <c r="G11" s="676">
        <f>D11*'Emission Factors'!$H$38</f>
        <v>0</v>
      </c>
      <c r="H11" s="900">
        <f>D11*'Emission Factors'!$I$38</f>
        <v>0</v>
      </c>
      <c r="I11" s="908">
        <f>E11*'Emission Factors'!$D$10</f>
        <v>0</v>
      </c>
    </row>
    <row r="12" spans="1:12" s="13" customFormat="1" x14ac:dyDescent="0.2">
      <c r="B12" s="2264"/>
      <c r="C12" s="674" t="s">
        <v>391</v>
      </c>
      <c r="D12" s="1024">
        <f>Inputs!D50</f>
        <v>0</v>
      </c>
      <c r="E12" s="1031"/>
      <c r="F12" s="901" t="e">
        <f>D12*'Emission Factors'!$L$61</f>
        <v>#DIV/0!</v>
      </c>
      <c r="G12" s="674" t="e">
        <f>D12*'Emission Factors'!$M$61</f>
        <v>#DIV/0!</v>
      </c>
      <c r="H12" s="901" t="e">
        <f>D12*'Emission Factors'!$N$61</f>
        <v>#DIV/0!</v>
      </c>
      <c r="I12" s="1027"/>
    </row>
    <row r="13" spans="1:12" s="13" customFormat="1" x14ac:dyDescent="0.2">
      <c r="B13" s="2265"/>
      <c r="C13" s="366" t="s">
        <v>454</v>
      </c>
      <c r="D13" s="1025">
        <f>Inputs!C61</f>
        <v>0</v>
      </c>
      <c r="E13" s="1025">
        <f>Inputs!D61</f>
        <v>0</v>
      </c>
      <c r="F13" s="902">
        <f>D13*'Emission Factors'!$I$68</f>
        <v>0</v>
      </c>
      <c r="G13" s="366">
        <f>D13*'Emission Factors'!$J$68</f>
        <v>0</v>
      </c>
      <c r="H13" s="902">
        <f>D13*'Emission Factors'!$K$68</f>
        <v>0</v>
      </c>
      <c r="I13" s="1570">
        <f>E13*'Emission Factors'!$D$10</f>
        <v>0</v>
      </c>
    </row>
    <row r="14" spans="1:12" s="13" customFormat="1" x14ac:dyDescent="0.2">
      <c r="B14" s="2265"/>
      <c r="C14" s="366" t="s">
        <v>570</v>
      </c>
      <c r="D14" s="366" t="e">
        <f>-F231</f>
        <v>#DIV/0!</v>
      </c>
      <c r="E14" s="1030"/>
      <c r="F14" s="903" t="e">
        <f>$D14*'Emission Factors'!G120</f>
        <v>#DIV/0!</v>
      </c>
      <c r="G14" s="904" t="e">
        <f>$D14*'Emission Factors'!H120</f>
        <v>#DIV/0!</v>
      </c>
      <c r="H14" s="903" t="e">
        <f>$D14*'Emission Factors'!I120</f>
        <v>#DIV/0!</v>
      </c>
      <c r="I14" s="1028"/>
    </row>
    <row r="15" spans="1:12" s="13" customFormat="1" ht="13.5" thickBot="1" x14ac:dyDescent="0.25">
      <c r="B15" s="2266"/>
      <c r="C15" s="499" t="s">
        <v>27</v>
      </c>
      <c r="D15" s="499" t="e">
        <f>SUM(D11:D14)</f>
        <v>#DIV/0!</v>
      </c>
      <c r="E15" s="499">
        <f>SUM(E11:E14)</f>
        <v>0</v>
      </c>
      <c r="F15" s="679">
        <f>SUMIF(F11:F14,"&lt;&gt;#DIV/0!",F11:F14)</f>
        <v>0</v>
      </c>
      <c r="G15" s="679">
        <f>SUMIF(G11:G14,"&lt;&gt;#DIV/0!",G11:G14)</f>
        <v>0</v>
      </c>
      <c r="H15" s="679">
        <f>SUMIF(H11:H14,"&lt;&gt;#DIV/0!",H11:H14)</f>
        <v>0</v>
      </c>
      <c r="I15" s="895">
        <f>SUM(I11:I14)</f>
        <v>0</v>
      </c>
    </row>
    <row r="16" spans="1:12" s="13" customFormat="1" x14ac:dyDescent="0.2">
      <c r="B16" s="2263" t="s">
        <v>571</v>
      </c>
      <c r="C16" s="94" t="s">
        <v>460</v>
      </c>
      <c r="D16" s="1026">
        <f>(Inputs!C33*'Emission Factors'!$D$141)-'Stationary Energy - Buildings'!D17</f>
        <v>0</v>
      </c>
      <c r="E16" s="1024">
        <f>Inputs!D33</f>
        <v>0</v>
      </c>
      <c r="F16" s="905">
        <f>D16*'Emission Factors'!$G$38</f>
        <v>0</v>
      </c>
      <c r="G16" s="673">
        <f>D16*'Emission Factors'!$H$38</f>
        <v>0</v>
      </c>
      <c r="H16" s="905">
        <f>D16*'Emission Factors'!$I$38</f>
        <v>0</v>
      </c>
      <c r="I16" s="908">
        <f>E16*'Emission Factors'!$D$10</f>
        <v>0</v>
      </c>
    </row>
    <row r="17" spans="2:12" s="13" customFormat="1" x14ac:dyDescent="0.2">
      <c r="B17" s="2264"/>
      <c r="C17" s="95" t="s">
        <v>461</v>
      </c>
      <c r="D17" s="1025">
        <f>Inputs!D55</f>
        <v>0</v>
      </c>
      <c r="E17" s="1030"/>
      <c r="F17" s="902" t="e">
        <f>D17*'Emission Factors'!$L$62</f>
        <v>#DIV/0!</v>
      </c>
      <c r="G17" s="366" t="e">
        <f>D17*'Emission Factors'!$M$62</f>
        <v>#DIV/0!</v>
      </c>
      <c r="H17" s="902" t="e">
        <f>D17*'Emission Factors'!$N$62</f>
        <v>#DIV/0!</v>
      </c>
      <c r="I17" s="1027"/>
    </row>
    <row r="18" spans="2:12" s="13" customFormat="1" x14ac:dyDescent="0.2">
      <c r="B18" s="2265"/>
      <c r="C18" s="675" t="s">
        <v>462</v>
      </c>
      <c r="D18" s="1024">
        <f>Inputs!C62</f>
        <v>0</v>
      </c>
      <c r="E18" s="1024">
        <f>Inputs!D62</f>
        <v>0</v>
      </c>
      <c r="F18" s="901">
        <f>D18*'Emission Factors'!$I$68</f>
        <v>0</v>
      </c>
      <c r="G18" s="674">
        <f>D18*'Emission Factors'!$J$68</f>
        <v>0</v>
      </c>
      <c r="H18" s="901">
        <f>D18*'Emission Factors'!$K$68</f>
        <v>0</v>
      </c>
      <c r="I18" s="1570">
        <f>E18*'Emission Factors'!$D$10</f>
        <v>0</v>
      </c>
    </row>
    <row r="19" spans="2:12" s="13" customFormat="1" x14ac:dyDescent="0.2">
      <c r="B19" s="2265"/>
      <c r="C19" s="677" t="s">
        <v>570</v>
      </c>
      <c r="D19" s="678" t="e">
        <f>-G231</f>
        <v>#DIV/0!</v>
      </c>
      <c r="E19" s="1032"/>
      <c r="F19" s="906" t="e">
        <f>$D19*'Emission Factors'!G120</f>
        <v>#DIV/0!</v>
      </c>
      <c r="G19" s="907" t="e">
        <f>$D19*'Emission Factors'!H120</f>
        <v>#DIV/0!</v>
      </c>
      <c r="H19" s="906" t="e">
        <f>$D19*'Emission Factors'!I120</f>
        <v>#DIV/0!</v>
      </c>
      <c r="I19" s="1029"/>
    </row>
    <row r="20" spans="2:12" s="13" customFormat="1" ht="13.5" thickBot="1" x14ac:dyDescent="0.25">
      <c r="B20" s="2266"/>
      <c r="C20" s="500" t="s">
        <v>588</v>
      </c>
      <c r="D20" s="499">
        <f>SUM(D16:D18)</f>
        <v>0</v>
      </c>
      <c r="E20" s="499">
        <f>SUM(E16:E19)</f>
        <v>0</v>
      </c>
      <c r="F20" s="679">
        <f>SUMIF(F16:F19,"&lt;&gt;#DIV/0!",F16:F19)</f>
        <v>0</v>
      </c>
      <c r="G20" s="679">
        <f>SUMIF(G16:G19,"&lt;&gt;#DIV/0!",G16:G19)</f>
        <v>0</v>
      </c>
      <c r="H20" s="679">
        <f>SUMIF(H16:H19,"&lt;&gt;#DIV/0!",H16:H19)</f>
        <v>0</v>
      </c>
      <c r="I20" s="895">
        <f>SUM(I16:I19)</f>
        <v>0</v>
      </c>
    </row>
    <row r="21" spans="2:12" s="13" customFormat="1" ht="15.75" thickBot="1" x14ac:dyDescent="0.3">
      <c r="B21" s="2251" t="s">
        <v>1139</v>
      </c>
      <c r="C21" s="2252"/>
      <c r="D21" s="87" t="e">
        <f>SUM(D15,D20)</f>
        <v>#DIV/0!</v>
      </c>
      <c r="E21" s="87">
        <f>SUM(E15,E20)</f>
        <v>0</v>
      </c>
      <c r="F21" s="680">
        <f>SUM(F15,F20)</f>
        <v>0</v>
      </c>
      <c r="G21" s="92">
        <f t="shared" ref="G21:H21" si="0">SUM(G15,G20)</f>
        <v>0</v>
      </c>
      <c r="H21" s="680">
        <f t="shared" si="0"/>
        <v>0</v>
      </c>
      <c r="I21" s="92">
        <f>SUM(I15,I20)</f>
        <v>0</v>
      </c>
      <c r="J21" s="43"/>
    </row>
    <row r="22" spans="2:12" s="13" customFormat="1" ht="51.75" customHeight="1" x14ac:dyDescent="0.25">
      <c r="B22" s="2253" t="s">
        <v>1137</v>
      </c>
      <c r="C22" s="2254"/>
      <c r="D22" s="2254"/>
      <c r="E22" s="2255"/>
      <c r="F22" s="86"/>
      <c r="G22" s="86"/>
      <c r="H22" s="43"/>
      <c r="I22" s="43"/>
      <c r="J22" s="43"/>
    </row>
    <row r="23" spans="2:12" s="13" customFormat="1" ht="26.25" customHeight="1" thickBot="1" x14ac:dyDescent="0.3">
      <c r="B23" s="2256" t="s">
        <v>572</v>
      </c>
      <c r="C23" s="2257"/>
      <c r="D23" s="2257"/>
      <c r="E23" s="2258"/>
      <c r="F23" s="86"/>
      <c r="G23" s="86"/>
      <c r="H23" s="43"/>
      <c r="I23" s="43"/>
      <c r="J23" s="43"/>
    </row>
    <row r="24" spans="2:12" s="13" customFormat="1" ht="15.75" customHeight="1" thickBot="1" x14ac:dyDescent="0.3">
      <c r="B24" s="1856"/>
      <c r="C24" s="1857"/>
      <c r="D24" s="1857"/>
      <c r="E24" s="1857"/>
      <c r="F24" s="86"/>
      <c r="G24" s="86"/>
      <c r="H24" s="43"/>
      <c r="I24" s="43"/>
      <c r="J24" s="43"/>
    </row>
    <row r="25" spans="2:12" s="13" customFormat="1" ht="15.75" customHeight="1" thickBot="1" x14ac:dyDescent="0.3">
      <c r="B25" s="2274" t="s">
        <v>1644</v>
      </c>
      <c r="C25" s="2275"/>
      <c r="D25" s="2275"/>
      <c r="E25" s="2275"/>
      <c r="F25" s="2275"/>
      <c r="G25" s="2275"/>
      <c r="H25" s="2275"/>
      <c r="I25" s="2276"/>
      <c r="J25" s="43"/>
    </row>
    <row r="26" spans="2:12" s="13" customFormat="1" ht="26.25" customHeight="1" x14ac:dyDescent="0.25">
      <c r="B26" s="1858" t="s">
        <v>85</v>
      </c>
      <c r="C26" s="1859" t="s">
        <v>96</v>
      </c>
      <c r="D26" s="1859" t="s">
        <v>259</v>
      </c>
      <c r="E26" s="1861" t="s">
        <v>341</v>
      </c>
      <c r="F26" s="1577" t="s">
        <v>342</v>
      </c>
      <c r="G26" s="1577" t="s">
        <v>343</v>
      </c>
      <c r="H26" s="1610" t="s">
        <v>1645</v>
      </c>
      <c r="I26" s="1578" t="s">
        <v>290</v>
      </c>
      <c r="J26" s="43"/>
      <c r="K26" s="43"/>
    </row>
    <row r="27" spans="2:12" s="13" customFormat="1" ht="14.25" customHeight="1" thickBot="1" x14ac:dyDescent="0.3">
      <c r="B27" s="1777" t="s">
        <v>1615</v>
      </c>
      <c r="C27" s="1860">
        <f>Inputs!C39</f>
        <v>0</v>
      </c>
      <c r="D27" s="1860">
        <f>Inputs!D39</f>
        <v>0</v>
      </c>
      <c r="E27" s="1862">
        <f>C27*'Emission Factors'!$G$38</f>
        <v>0</v>
      </c>
      <c r="F27" s="1863">
        <f>C27*'Emission Factors'!$H$38</f>
        <v>0</v>
      </c>
      <c r="G27" s="1862">
        <f>C27*'Emission Factors'!$I$38</f>
        <v>0</v>
      </c>
      <c r="H27" s="1865">
        <f>(E27*'Emission Factors'!$B$126)+F27+(G27*'Emission Factors'!$C$126)</f>
        <v>0</v>
      </c>
      <c r="I27" s="1864">
        <f>D27*'Emission Factors'!$D$10</f>
        <v>0</v>
      </c>
      <c r="J27" s="43"/>
      <c r="K27" s="43"/>
    </row>
    <row r="28" spans="2:12" s="13" customFormat="1" ht="28.5" customHeight="1" thickBot="1" x14ac:dyDescent="0.3">
      <c r="B28" s="2271" t="s">
        <v>1643</v>
      </c>
      <c r="C28" s="2272"/>
      <c r="D28" s="2272"/>
      <c r="E28" s="2272"/>
      <c r="F28" s="2272"/>
      <c r="G28" s="2272"/>
      <c r="H28" s="2273"/>
      <c r="I28" s="43"/>
      <c r="J28" s="43"/>
    </row>
    <row r="29" spans="2:12" s="13" customFormat="1" ht="18" customHeight="1" thickBot="1" x14ac:dyDescent="0.3">
      <c r="B29" s="86"/>
      <c r="C29" s="86"/>
      <c r="D29" s="86"/>
      <c r="E29" s="86"/>
      <c r="F29" s="86"/>
      <c r="G29" s="86"/>
      <c r="H29" s="43"/>
      <c r="I29" s="43"/>
      <c r="J29" s="43"/>
    </row>
    <row r="30" spans="2:12" s="13" customFormat="1" ht="15.75" customHeight="1" thickBot="1" x14ac:dyDescent="0.3">
      <c r="B30" s="2200" t="s">
        <v>574</v>
      </c>
      <c r="C30" s="2201"/>
      <c r="D30" s="2201"/>
      <c r="E30" s="2201"/>
      <c r="F30" s="2201"/>
      <c r="G30" s="2201"/>
      <c r="H30" s="2206"/>
      <c r="I30" s="43"/>
      <c r="J30" s="43"/>
    </row>
    <row r="31" spans="2:12" s="13" customFormat="1" ht="25.5" x14ac:dyDescent="0.25">
      <c r="B31" s="1781" t="s">
        <v>85</v>
      </c>
      <c r="C31" s="1782" t="s">
        <v>59</v>
      </c>
      <c r="D31" s="1782" t="s">
        <v>98</v>
      </c>
      <c r="E31" s="1778" t="s">
        <v>344</v>
      </c>
      <c r="F31" s="1778" t="s">
        <v>345</v>
      </c>
      <c r="G31" s="1778" t="s">
        <v>346</v>
      </c>
      <c r="H31" s="1872" t="s">
        <v>1646</v>
      </c>
      <c r="I31" s="86"/>
      <c r="J31" s="43"/>
      <c r="K31" s="43"/>
      <c r="L31" s="43"/>
    </row>
    <row r="32" spans="2:12" s="13" customFormat="1" ht="15" x14ac:dyDescent="0.25">
      <c r="B32" s="209" t="s">
        <v>196</v>
      </c>
      <c r="C32" s="497">
        <f>J45</f>
        <v>0</v>
      </c>
      <c r="D32" s="522">
        <f>K45</f>
        <v>0</v>
      </c>
      <c r="E32" s="909">
        <f>L45</f>
        <v>0</v>
      </c>
      <c r="F32" s="910">
        <f>M45</f>
        <v>0</v>
      </c>
      <c r="G32" s="1866">
        <f>N45</f>
        <v>0</v>
      </c>
      <c r="H32" s="1869">
        <f>(E32*'Emission Factors'!$B$126)+F32+(G32*'Emission Factors'!$C$126)</f>
        <v>0</v>
      </c>
      <c r="I32" s="86"/>
      <c r="J32" s="43"/>
      <c r="K32" s="43"/>
      <c r="L32" s="43"/>
    </row>
    <row r="33" spans="2:14" s="13" customFormat="1" ht="15" x14ac:dyDescent="0.25">
      <c r="B33" s="210" t="s">
        <v>199</v>
      </c>
      <c r="C33" s="404">
        <f>K72</f>
        <v>0</v>
      </c>
      <c r="D33" s="404">
        <f>L72</f>
        <v>0</v>
      </c>
      <c r="E33" s="911">
        <f>M72</f>
        <v>0</v>
      </c>
      <c r="F33" s="912">
        <f>N72</f>
        <v>0</v>
      </c>
      <c r="G33" s="1867">
        <f>O72</f>
        <v>0</v>
      </c>
      <c r="H33" s="1869">
        <f>(E33*'Emission Factors'!$B$126)+F33+(G33*'Emission Factors'!$C$126)</f>
        <v>0</v>
      </c>
      <c r="I33" s="86"/>
      <c r="J33" s="43"/>
      <c r="K33" s="43"/>
      <c r="L33" s="43"/>
    </row>
    <row r="34" spans="2:14" s="13" customFormat="1" ht="15" x14ac:dyDescent="0.25">
      <c r="B34" s="1769" t="s">
        <v>200</v>
      </c>
      <c r="C34" s="1770">
        <f>I100</f>
        <v>0</v>
      </c>
      <c r="D34" s="404">
        <f>J100</f>
        <v>0</v>
      </c>
      <c r="E34" s="1771">
        <f>K100</f>
        <v>0</v>
      </c>
      <c r="F34" s="1771">
        <f t="shared" ref="F34:G34" si="1">L100</f>
        <v>0</v>
      </c>
      <c r="G34" s="1867">
        <f t="shared" si="1"/>
        <v>0</v>
      </c>
      <c r="H34" s="1869">
        <f>(E34*'Emission Factors'!$B$126)+F34+(G34*'Emission Factors'!$C$126)</f>
        <v>0</v>
      </c>
      <c r="I34" s="86"/>
      <c r="J34" s="43"/>
      <c r="K34" s="43"/>
      <c r="L34" s="43"/>
    </row>
    <row r="35" spans="2:14" s="13" customFormat="1" ht="15" x14ac:dyDescent="0.25">
      <c r="B35" s="211" t="s">
        <v>1615</v>
      </c>
      <c r="C35" s="1772">
        <f>Inputs!E39</f>
        <v>0</v>
      </c>
      <c r="D35" s="1514">
        <f>C35*'Emission Factors'!$D$137</f>
        <v>0</v>
      </c>
      <c r="E35" s="1270">
        <f>D35*'Emission Factors'!$E$12</f>
        <v>0</v>
      </c>
      <c r="F35" s="1270">
        <f>D35*'Emission Factors'!$D$12</f>
        <v>0</v>
      </c>
      <c r="G35" s="1868">
        <f>D35*'Emission Factors'!$F$12</f>
        <v>0</v>
      </c>
      <c r="H35" s="1870">
        <f>(E35*'Emission Factors'!$B$126)+F35+(G35*'Emission Factors'!$C$126)</f>
        <v>0</v>
      </c>
      <c r="I35"/>
      <c r="J35" s="43"/>
      <c r="K35" s="43"/>
      <c r="L35" s="43"/>
    </row>
    <row r="36" spans="2:14" s="13" customFormat="1" ht="15.75" thickBot="1" x14ac:dyDescent="0.3">
      <c r="B36" s="204" t="s">
        <v>231</v>
      </c>
      <c r="C36" s="661">
        <f t="shared" ref="C36:H36" si="2">SUM(C32:C35)</f>
        <v>0</v>
      </c>
      <c r="D36" s="661">
        <f t="shared" si="2"/>
        <v>0</v>
      </c>
      <c r="E36" s="662">
        <f t="shared" si="2"/>
        <v>0</v>
      </c>
      <c r="F36" s="661">
        <f t="shared" si="2"/>
        <v>0</v>
      </c>
      <c r="G36" s="1871">
        <f t="shared" si="2"/>
        <v>0</v>
      </c>
      <c r="H36" s="1873">
        <f t="shared" si="2"/>
        <v>0</v>
      </c>
      <c r="I36" s="86"/>
      <c r="J36" s="43"/>
      <c r="K36" s="43"/>
      <c r="L36" s="43"/>
    </row>
    <row r="37" spans="2:14" s="13" customFormat="1" ht="15.75" thickBot="1" x14ac:dyDescent="0.3">
      <c r="B37" s="86"/>
      <c r="C37" s="86"/>
      <c r="D37" s="86"/>
      <c r="E37" s="86"/>
      <c r="F37" s="86"/>
      <c r="G37" s="86"/>
      <c r="H37" s="43"/>
      <c r="I37" s="43"/>
      <c r="J37" s="43"/>
    </row>
    <row r="38" spans="2:14" s="13" customFormat="1" ht="15.75" thickBot="1" x14ac:dyDescent="0.25">
      <c r="B38" s="2012" t="s">
        <v>575</v>
      </c>
      <c r="C38" s="2191"/>
      <c r="D38" s="2191"/>
      <c r="E38" s="2191"/>
      <c r="F38" s="2191"/>
      <c r="G38" s="2191"/>
      <c r="H38" s="2191"/>
      <c r="I38" s="2191"/>
      <c r="J38" s="2191"/>
      <c r="K38" s="2191"/>
      <c r="L38" s="2191"/>
      <c r="M38" s="2191"/>
      <c r="N38" s="2192"/>
    </row>
    <row r="39" spans="2:14" s="13" customFormat="1" ht="51" x14ac:dyDescent="0.2">
      <c r="B39" s="151" t="s">
        <v>1133</v>
      </c>
      <c r="C39" s="101" t="s">
        <v>470</v>
      </c>
      <c r="D39" s="101" t="s">
        <v>471</v>
      </c>
      <c r="E39" s="101" t="s">
        <v>473</v>
      </c>
      <c r="F39" s="101" t="s">
        <v>472</v>
      </c>
      <c r="G39" s="101" t="s">
        <v>1140</v>
      </c>
      <c r="H39" s="101" t="s">
        <v>1132</v>
      </c>
      <c r="I39" s="101" t="s">
        <v>477</v>
      </c>
      <c r="J39" s="1105" t="s">
        <v>505</v>
      </c>
      <c r="K39" s="667" t="s">
        <v>98</v>
      </c>
      <c r="L39" s="216" t="s">
        <v>344</v>
      </c>
      <c r="M39" s="216" t="s">
        <v>345</v>
      </c>
      <c r="N39" s="609" t="s">
        <v>346</v>
      </c>
    </row>
    <row r="40" spans="2:14" s="13" customFormat="1" x14ac:dyDescent="0.2">
      <c r="B40" s="623" t="s">
        <v>463</v>
      </c>
      <c r="C40" s="1310">
        <v>571</v>
      </c>
      <c r="D40" s="1311">
        <f>73.9/118.2</f>
        <v>0.6252115059221659</v>
      </c>
      <c r="E40" s="1307">
        <v>1.2</v>
      </c>
      <c r="F40" s="616">
        <f>E40/$E$45</f>
        <v>0.48</v>
      </c>
      <c r="G40" s="617">
        <f>C40*$C$48</f>
        <v>866.11059465327025</v>
      </c>
      <c r="H40" s="1033">
        <f>Inputs!C180</f>
        <v>0</v>
      </c>
      <c r="I40" s="1034">
        <f>Inputs!$C$189</f>
        <v>0</v>
      </c>
      <c r="J40" s="618">
        <f>(G40*H40*I40)</f>
        <v>0</v>
      </c>
      <c r="K40" s="1008">
        <f>J40*'Emission Factors'!$D$137</f>
        <v>0</v>
      </c>
      <c r="L40" s="931">
        <f>K40*'Emission Factors'!$E$12</f>
        <v>0</v>
      </c>
      <c r="M40" s="932">
        <f>K40*'Emission Factors'!$D$12</f>
        <v>0</v>
      </c>
      <c r="N40" s="419">
        <f>K40*'Emission Factors'!$F$12</f>
        <v>0</v>
      </c>
    </row>
    <row r="41" spans="2:14" s="13" customFormat="1" x14ac:dyDescent="0.2">
      <c r="B41" s="623" t="s">
        <v>464</v>
      </c>
      <c r="C41" s="1310">
        <f>C40*0.9205</f>
        <v>525.60550000000001</v>
      </c>
      <c r="D41" s="1311">
        <f>7/118.2</f>
        <v>5.9221658206429779E-2</v>
      </c>
      <c r="E41" s="1307">
        <v>0.1</v>
      </c>
      <c r="F41" s="616">
        <f>E41/$E$45</f>
        <v>0.04</v>
      </c>
      <c r="G41" s="617">
        <f>C41*$C$48</f>
        <v>797.25480237833528</v>
      </c>
      <c r="H41" s="1033">
        <f>Inputs!C181</f>
        <v>0</v>
      </c>
      <c r="I41" s="1034">
        <f>Inputs!$C$189</f>
        <v>0</v>
      </c>
      <c r="J41" s="618">
        <f t="shared" ref="J41:J44" si="3">(G41*H41*I41)</f>
        <v>0</v>
      </c>
      <c r="K41" s="1008">
        <f>J41*'Emission Factors'!$D$137</f>
        <v>0</v>
      </c>
      <c r="L41" s="931">
        <f>K41*'Emission Factors'!$E$12</f>
        <v>0</v>
      </c>
      <c r="M41" s="932">
        <f>K41*'Emission Factors'!$D$12</f>
        <v>0</v>
      </c>
      <c r="N41" s="419">
        <f>K41*'Emission Factors'!$F$12</f>
        <v>0</v>
      </c>
    </row>
    <row r="42" spans="2:14" s="13" customFormat="1" x14ac:dyDescent="0.2">
      <c r="B42" s="623" t="s">
        <v>465</v>
      </c>
      <c r="C42" s="1310">
        <v>325</v>
      </c>
      <c r="D42" s="1311">
        <f>9.4/118.2</f>
        <v>7.952622673434856E-2</v>
      </c>
      <c r="E42" s="1307">
        <v>0.6</v>
      </c>
      <c r="F42" s="616">
        <f>E42/$E$45</f>
        <v>0.24</v>
      </c>
      <c r="G42" s="617">
        <f>C42*$C$48</f>
        <v>492.97012830527638</v>
      </c>
      <c r="H42" s="1033">
        <f>SUM(Inputs!C182:C183)</f>
        <v>0</v>
      </c>
      <c r="I42" s="1034">
        <f>Inputs!$C$189</f>
        <v>0</v>
      </c>
      <c r="J42" s="618">
        <f t="shared" si="3"/>
        <v>0</v>
      </c>
      <c r="K42" s="1008">
        <f>J42*'Emission Factors'!$D$137</f>
        <v>0</v>
      </c>
      <c r="L42" s="931">
        <f>K42*'Emission Factors'!$E$12</f>
        <v>0</v>
      </c>
      <c r="M42" s="932">
        <f>K42*'Emission Factors'!$D$12</f>
        <v>0</v>
      </c>
      <c r="N42" s="419">
        <f>K42*'Emission Factors'!$F$12</f>
        <v>0</v>
      </c>
    </row>
    <row r="43" spans="2:14" s="13" customFormat="1" x14ac:dyDescent="0.2">
      <c r="B43" s="623" t="s">
        <v>466</v>
      </c>
      <c r="C43" s="1310">
        <v>228</v>
      </c>
      <c r="D43" s="1311">
        <f>21.1/118.2</f>
        <v>0.17851099830795264</v>
      </c>
      <c r="E43" s="1307">
        <v>0.5</v>
      </c>
      <c r="F43" s="616">
        <f>E43/$E$45</f>
        <v>0.2</v>
      </c>
      <c r="G43" s="617">
        <f>C43*$C$48</f>
        <v>345.83750539570161</v>
      </c>
      <c r="H43" s="1033">
        <f>SUM(Inputs!C184:C186)</f>
        <v>0</v>
      </c>
      <c r="I43" s="1034">
        <f>Inputs!$C$189</f>
        <v>0</v>
      </c>
      <c r="J43" s="618">
        <f t="shared" si="3"/>
        <v>0</v>
      </c>
      <c r="K43" s="1008">
        <f>J43*'Emission Factors'!$D$137</f>
        <v>0</v>
      </c>
      <c r="L43" s="931">
        <f>K43*'Emission Factors'!$E$12</f>
        <v>0</v>
      </c>
      <c r="M43" s="932">
        <f>K43*'Emission Factors'!$D$12</f>
        <v>0</v>
      </c>
      <c r="N43" s="419">
        <f>K43*'Emission Factors'!$F$12</f>
        <v>0</v>
      </c>
    </row>
    <row r="44" spans="2:14" s="13" customFormat="1" x14ac:dyDescent="0.2">
      <c r="B44" s="663" t="s">
        <v>468</v>
      </c>
      <c r="C44" s="1312">
        <v>262</v>
      </c>
      <c r="D44" s="1313">
        <f>6.8/118.2</f>
        <v>5.7529610829103212E-2</v>
      </c>
      <c r="E44" s="1308">
        <f>F44*E45</f>
        <v>0.10000000000000009</v>
      </c>
      <c r="F44" s="628">
        <f>F45-SUM(F40:F43)</f>
        <v>4.0000000000000036E-2</v>
      </c>
      <c r="G44" s="629">
        <f>C44*$C$48</f>
        <v>397.40976497225358</v>
      </c>
      <c r="H44" s="1035">
        <f>Inputs!C187</f>
        <v>0</v>
      </c>
      <c r="I44" s="1034">
        <f>Inputs!$C$189</f>
        <v>0</v>
      </c>
      <c r="J44" s="630">
        <f t="shared" si="3"/>
        <v>0</v>
      </c>
      <c r="K44" s="1036">
        <f>J44*'Emission Factors'!$D$137</f>
        <v>0</v>
      </c>
      <c r="L44" s="1037">
        <f>K44*'Emission Factors'!$E$12</f>
        <v>0</v>
      </c>
      <c r="M44" s="1038">
        <f>K44*'Emission Factors'!$D$12</f>
        <v>0</v>
      </c>
      <c r="N44" s="1039">
        <f>K44*'Emission Factors'!$F$12</f>
        <v>0</v>
      </c>
    </row>
    <row r="45" spans="2:14" s="13" customFormat="1" ht="13.5" thickBot="1" x14ac:dyDescent="0.25">
      <c r="B45" s="204" t="s">
        <v>528</v>
      </c>
      <c r="C45" s="1306"/>
      <c r="D45" s="1306"/>
      <c r="E45" s="1309">
        <v>2.5</v>
      </c>
      <c r="F45" s="666">
        <f>E45/$E$45</f>
        <v>1</v>
      </c>
      <c r="G45" s="1102"/>
      <c r="H45" s="1102"/>
      <c r="I45" s="1102"/>
      <c r="J45" s="93">
        <f>SUM(J40:J44)</f>
        <v>0</v>
      </c>
      <c r="K45" s="631">
        <f>SUM(K40:K44)</f>
        <v>0</v>
      </c>
      <c r="L45" s="502">
        <f>SUM(L40:L44)</f>
        <v>0</v>
      </c>
      <c r="M45" s="178">
        <f>SUM(M40:M44)</f>
        <v>0</v>
      </c>
      <c r="N45" s="501">
        <f t="shared" ref="N45" si="4">SUM(N40:N44)</f>
        <v>0</v>
      </c>
    </row>
    <row r="46" spans="2:14" s="13" customFormat="1" ht="47.25" customHeight="1" x14ac:dyDescent="0.2">
      <c r="B46" s="664" t="s">
        <v>1141</v>
      </c>
      <c r="C46" s="665">
        <f>SUMPRODUCT(C40:C44,F40:F44)</f>
        <v>429.18422000000004</v>
      </c>
      <c r="D46" s="597"/>
      <c r="E46" s="613"/>
      <c r="F46" s="598"/>
      <c r="G46" s="599"/>
      <c r="H46" s="600"/>
      <c r="I46" s="601"/>
      <c r="J46" s="596"/>
    </row>
    <row r="47" spans="2:14" s="13" customFormat="1" ht="38.25" x14ac:dyDescent="0.2">
      <c r="B47" s="610" t="s">
        <v>1142</v>
      </c>
      <c r="C47" s="1314">
        <v>651</v>
      </c>
      <c r="D47" s="597"/>
      <c r="E47" s="613"/>
      <c r="F47" s="598"/>
      <c r="G47" s="599"/>
      <c r="H47" s="600"/>
      <c r="I47" s="601"/>
      <c r="J47" s="608"/>
    </row>
    <row r="48" spans="2:14" s="13" customFormat="1" ht="13.5" thickBot="1" x14ac:dyDescent="0.25">
      <c r="B48" s="611" t="s">
        <v>467</v>
      </c>
      <c r="C48" s="612">
        <f>C47/C46</f>
        <v>1.5168311640162351</v>
      </c>
      <c r="D48" s="597"/>
      <c r="E48" s="614"/>
      <c r="F48" s="598"/>
      <c r="G48" s="599"/>
      <c r="I48" s="601"/>
      <c r="J48" s="596"/>
    </row>
    <row r="49" spans="2:15" s="13" customFormat="1" ht="44.25" customHeight="1" x14ac:dyDescent="0.2">
      <c r="B49" s="1962" t="s">
        <v>1179</v>
      </c>
      <c r="C49" s="2277"/>
      <c r="D49" s="2277"/>
      <c r="E49" s="2277"/>
      <c r="F49" s="603" t="s">
        <v>469</v>
      </c>
      <c r="G49" s="604"/>
      <c r="H49" s="600"/>
      <c r="I49" s="602"/>
      <c r="J49" s="596"/>
    </row>
    <row r="50" spans="2:15" s="13" customFormat="1" ht="28.5" customHeight="1" x14ac:dyDescent="0.2">
      <c r="B50" s="2249" t="s">
        <v>474</v>
      </c>
      <c r="C50" s="2250"/>
      <c r="D50" s="2250"/>
      <c r="E50" s="2250"/>
      <c r="F50" s="605" t="s">
        <v>476</v>
      </c>
      <c r="G50" s="604"/>
      <c r="H50" s="595"/>
      <c r="I50" s="595"/>
    </row>
    <row r="51" spans="2:15" s="13" customFormat="1" ht="30" customHeight="1" x14ac:dyDescent="0.2">
      <c r="B51" s="2242" t="s">
        <v>1143</v>
      </c>
      <c r="C51" s="2243"/>
      <c r="D51" s="2243"/>
      <c r="E51" s="2243"/>
      <c r="F51" s="607" t="s">
        <v>475</v>
      </c>
      <c r="G51" s="604"/>
      <c r="H51" s="595"/>
      <c r="I51" s="595"/>
    </row>
    <row r="52" spans="2:15" s="13" customFormat="1" ht="29.25" customHeight="1" x14ac:dyDescent="0.2">
      <c r="B52" s="2242" t="s">
        <v>479</v>
      </c>
      <c r="C52" s="2243"/>
      <c r="D52" s="2243"/>
      <c r="E52" s="2243"/>
      <c r="F52" s="607" t="s">
        <v>478</v>
      </c>
      <c r="G52" s="604"/>
      <c r="H52" s="595"/>
      <c r="I52" s="595"/>
    </row>
    <row r="53" spans="2:15" s="13" customFormat="1" ht="33" customHeight="1" thickBot="1" x14ac:dyDescent="0.25">
      <c r="B53" s="2240" t="s">
        <v>480</v>
      </c>
      <c r="C53" s="2241"/>
      <c r="D53" s="2241"/>
      <c r="E53" s="2241"/>
      <c r="F53" s="606" t="s">
        <v>478</v>
      </c>
      <c r="G53" s="599"/>
      <c r="H53" s="595"/>
      <c r="I53" s="595"/>
    </row>
    <row r="54" spans="2:15" s="13" customFormat="1" ht="13.5" thickBot="1" x14ac:dyDescent="0.25">
      <c r="B54" s="595"/>
      <c r="C54" s="595"/>
      <c r="D54" s="595"/>
      <c r="F54" s="595"/>
      <c r="G54" s="595"/>
      <c r="H54" s="595"/>
      <c r="I54" s="595"/>
    </row>
    <row r="55" spans="2:15" s="13" customFormat="1" ht="15.75" thickBot="1" x14ac:dyDescent="0.25">
      <c r="B55" s="2012" t="s">
        <v>583</v>
      </c>
      <c r="C55" s="2191"/>
      <c r="D55" s="2191"/>
      <c r="E55" s="2191"/>
      <c r="F55" s="2191"/>
      <c r="G55" s="2191"/>
      <c r="H55" s="2191"/>
      <c r="I55" s="2191"/>
      <c r="J55" s="2244"/>
      <c r="K55" s="2245"/>
      <c r="L55" s="2245"/>
      <c r="M55" s="2245"/>
      <c r="N55" s="2245"/>
      <c r="O55" s="2246"/>
    </row>
    <row r="56" spans="2:15" s="13" customFormat="1" ht="76.5" x14ac:dyDescent="0.2">
      <c r="B56" s="151" t="s">
        <v>501</v>
      </c>
      <c r="C56" s="101" t="s">
        <v>554</v>
      </c>
      <c r="D56" s="101" t="s">
        <v>581</v>
      </c>
      <c r="E56" s="101" t="s">
        <v>582</v>
      </c>
      <c r="F56" s="101" t="s">
        <v>502</v>
      </c>
      <c r="G56" s="101" t="s">
        <v>503</v>
      </c>
      <c r="H56" s="101" t="s">
        <v>527</v>
      </c>
      <c r="I56" s="101" t="s">
        <v>504</v>
      </c>
      <c r="J56" s="101" t="s">
        <v>500</v>
      </c>
      <c r="K56" s="1106" t="s">
        <v>505</v>
      </c>
      <c r="L56" s="101" t="s">
        <v>98</v>
      </c>
      <c r="M56" s="216" t="s">
        <v>344</v>
      </c>
      <c r="N56" s="216" t="s">
        <v>345</v>
      </c>
      <c r="O56" s="609" t="s">
        <v>346</v>
      </c>
    </row>
    <row r="57" spans="2:15" s="13" customFormat="1" x14ac:dyDescent="0.2">
      <c r="B57" s="619" t="s">
        <v>262</v>
      </c>
      <c r="C57" s="646">
        <f>SUMIF($C$108:$C$206,"Education",$F$108:$F$206)</f>
        <v>0</v>
      </c>
      <c r="D57" s="646">
        <f>SUMIF($C$108:$C$206,"Education",$E$108:$E$206)</f>
        <v>0</v>
      </c>
      <c r="E57" s="620" t="str">
        <f>IFERROR(C57/D57,"N/A")</f>
        <v>N/A</v>
      </c>
      <c r="F57" s="372">
        <v>6763</v>
      </c>
      <c r="G57" s="1315">
        <v>124</v>
      </c>
      <c r="H57" s="621"/>
      <c r="I57" s="622"/>
      <c r="J57" s="1317">
        <f t="shared" ref="J57:J62" si="5">115/287</f>
        <v>0.40069686411149824</v>
      </c>
      <c r="K57" s="618">
        <f>(C57*G57*J57)</f>
        <v>0</v>
      </c>
      <c r="L57" s="930">
        <f>K57*'Emission Factors'!$D$137</f>
        <v>0</v>
      </c>
      <c r="M57" s="931">
        <f>L57*'Emission Factors'!$E$12</f>
        <v>0</v>
      </c>
      <c r="N57" s="932">
        <f>L57*'Emission Factors'!$D$12</f>
        <v>0</v>
      </c>
      <c r="O57" s="419">
        <f>L57*'Emission Factors'!$F$12</f>
        <v>0</v>
      </c>
    </row>
    <row r="58" spans="2:15" s="13" customFormat="1" x14ac:dyDescent="0.2">
      <c r="B58" s="619" t="s">
        <v>481</v>
      </c>
      <c r="C58" s="646">
        <f>SUMIF($C$108:$C$206,"Food Sales",$F$108:$F$206)</f>
        <v>0</v>
      </c>
      <c r="D58" s="646">
        <f>SUMIF($C$108:$C$206,"Food Sales",$E$108:$E$206)</f>
        <v>0</v>
      </c>
      <c r="E58" s="620" t="str">
        <f t="shared" ref="E58:E71" si="6">IFERROR(C58/D58,"N/A")</f>
        <v>N/A</v>
      </c>
      <c r="F58" s="372">
        <f>$F$65+($F$65*I58)</f>
        <v>2099.1835853131752</v>
      </c>
      <c r="G58" s="372" t="e">
        <f>F58/E58</f>
        <v>#VALUE!</v>
      </c>
      <c r="H58" s="372">
        <v>634</v>
      </c>
      <c r="I58" s="616">
        <f>(H58-$H$65)/$H$65</f>
        <v>0.36933045356371491</v>
      </c>
      <c r="J58" s="1317">
        <f t="shared" si="5"/>
        <v>0.40069686411149824</v>
      </c>
      <c r="K58" s="618" t="e">
        <f>(C58*G58*J58)</f>
        <v>#VALUE!</v>
      </c>
      <c r="L58" s="930" t="e">
        <f>K58*'Emission Factors'!$D$137</f>
        <v>#VALUE!</v>
      </c>
      <c r="M58" s="931" t="e">
        <f>L58*'Emission Factors'!$E$12</f>
        <v>#VALUE!</v>
      </c>
      <c r="N58" s="932" t="e">
        <f>L58*'Emission Factors'!$D$12</f>
        <v>#VALUE!</v>
      </c>
      <c r="O58" s="419" t="e">
        <f>L58*'Emission Factors'!$F$12</f>
        <v>#VALUE!</v>
      </c>
    </row>
    <row r="59" spans="2:15" s="13" customFormat="1" x14ac:dyDescent="0.2">
      <c r="B59" s="619" t="s">
        <v>482</v>
      </c>
      <c r="C59" s="646">
        <f>SUMIF($C$108:$C$206,"Food Service",$F$108:$F$206)</f>
        <v>0</v>
      </c>
      <c r="D59" s="646">
        <f>SUMIF($C$108:$C$206,"Food Service",$E$108:$E$206)</f>
        <v>0</v>
      </c>
      <c r="E59" s="620" t="str">
        <f t="shared" si="6"/>
        <v>N/A</v>
      </c>
      <c r="F59" s="372">
        <f>$F$65+($F$65*I59)</f>
        <v>2592.5248380129588</v>
      </c>
      <c r="G59" s="372" t="e">
        <f>F59/E59</f>
        <v>#VALUE!</v>
      </c>
      <c r="H59" s="372">
        <v>783</v>
      </c>
      <c r="I59" s="616">
        <f>(H59-$H$65)/$H$65</f>
        <v>0.69114470842332609</v>
      </c>
      <c r="J59" s="1317">
        <f t="shared" si="5"/>
        <v>0.40069686411149824</v>
      </c>
      <c r="K59" s="618" t="e">
        <f>(C59*G59*J59)</f>
        <v>#VALUE!</v>
      </c>
      <c r="L59" s="930" t="e">
        <f>K59*'Emission Factors'!$D$137</f>
        <v>#VALUE!</v>
      </c>
      <c r="M59" s="931" t="e">
        <f>L59*'Emission Factors'!$E$12</f>
        <v>#VALUE!</v>
      </c>
      <c r="N59" s="932" t="e">
        <f>L59*'Emission Factors'!$D$12</f>
        <v>#VALUE!</v>
      </c>
      <c r="O59" s="419" t="e">
        <f>L59*'Emission Factors'!$F$12</f>
        <v>#VALUE!</v>
      </c>
    </row>
    <row r="60" spans="2:15" s="13" customFormat="1" x14ac:dyDescent="0.2">
      <c r="B60" s="619" t="s">
        <v>483</v>
      </c>
      <c r="C60" s="646">
        <f>SUMIF($C$108:$C$206,"Inpatient Health Care",$F$108:$F$206)</f>
        <v>0</v>
      </c>
      <c r="D60" s="646">
        <f>SUMIF($C$108:$C$206,"Inpatient Health Care",$E$108:$E$206)</f>
        <v>0</v>
      </c>
      <c r="E60" s="620" t="str">
        <f t="shared" si="6"/>
        <v>N/A</v>
      </c>
      <c r="F60" s="372">
        <v>13711</v>
      </c>
      <c r="G60" s="1315">
        <v>29</v>
      </c>
      <c r="H60" s="621"/>
      <c r="I60" s="622"/>
      <c r="J60" s="1317">
        <f t="shared" si="5"/>
        <v>0.40069686411149824</v>
      </c>
      <c r="K60" s="618">
        <f t="shared" ref="K60:K71" si="7">(C60*G60*J60)</f>
        <v>0</v>
      </c>
      <c r="L60" s="930">
        <f>K60*'Emission Factors'!$D$137</f>
        <v>0</v>
      </c>
      <c r="M60" s="931">
        <f>L60*'Emission Factors'!$E$12</f>
        <v>0</v>
      </c>
      <c r="N60" s="932">
        <f>L60*'Emission Factors'!$D$12</f>
        <v>0</v>
      </c>
      <c r="O60" s="419">
        <f>L60*'Emission Factors'!$F$12</f>
        <v>0</v>
      </c>
    </row>
    <row r="61" spans="2:15" s="13" customFormat="1" x14ac:dyDescent="0.2">
      <c r="B61" s="619" t="s">
        <v>484</v>
      </c>
      <c r="C61" s="646">
        <f>SUMIF($C$108:$C$206,"Outpatient Health Care",$F$108:$F$206)</f>
        <v>0</v>
      </c>
      <c r="D61" s="646">
        <f>SUMIF($C$108:$C$206,"Outpatient Health Care",$E$108:$E$206)</f>
        <v>0</v>
      </c>
      <c r="E61" s="620" t="str">
        <f t="shared" si="6"/>
        <v>N/A</v>
      </c>
      <c r="F61" s="372">
        <f>$F$65+($F$65*I61)</f>
        <v>1701.8617710583153</v>
      </c>
      <c r="G61" s="372" t="e">
        <f>F61/E61</f>
        <v>#VALUE!</v>
      </c>
      <c r="H61" s="372">
        <v>514</v>
      </c>
      <c r="I61" s="616">
        <f>(H61-$H$65)/$H$65</f>
        <v>0.1101511879049676</v>
      </c>
      <c r="J61" s="1317">
        <f t="shared" si="5"/>
        <v>0.40069686411149824</v>
      </c>
      <c r="K61" s="618" t="e">
        <f>(C61*G61*J61)</f>
        <v>#VALUE!</v>
      </c>
      <c r="L61" s="930" t="e">
        <f>K61*'Emission Factors'!$D$137</f>
        <v>#VALUE!</v>
      </c>
      <c r="M61" s="931" t="e">
        <f>L61*'Emission Factors'!$E$12</f>
        <v>#VALUE!</v>
      </c>
      <c r="N61" s="932" t="e">
        <f>L61*'Emission Factors'!$D$12</f>
        <v>#VALUE!</v>
      </c>
      <c r="O61" s="419" t="e">
        <f>L61*'Emission Factors'!$F$12</f>
        <v>#VALUE!</v>
      </c>
    </row>
    <row r="62" spans="2:15" s="13" customFormat="1" x14ac:dyDescent="0.2">
      <c r="B62" s="619" t="s">
        <v>263</v>
      </c>
      <c r="C62" s="646">
        <f>SUMIF($C$108:$C$206,"Lodging",$F$108:$F$206)</f>
        <v>0</v>
      </c>
      <c r="D62" s="646">
        <f>SUMIF($C$108:$C$206,"Lodging",$E$108:$E$206)</f>
        <v>0</v>
      </c>
      <c r="E62" s="620" t="str">
        <f t="shared" si="6"/>
        <v>N/A</v>
      </c>
      <c r="F62" s="372">
        <v>2206</v>
      </c>
      <c r="G62" s="1315">
        <v>50</v>
      </c>
      <c r="H62" s="621"/>
      <c r="I62" s="622"/>
      <c r="J62" s="1317">
        <f t="shared" si="5"/>
        <v>0.40069686411149824</v>
      </c>
      <c r="K62" s="618">
        <f t="shared" si="7"/>
        <v>0</v>
      </c>
      <c r="L62" s="930">
        <f>K62*'Emission Factors'!$D$137</f>
        <v>0</v>
      </c>
      <c r="M62" s="931">
        <f>L62*'Emission Factors'!$E$12</f>
        <v>0</v>
      </c>
      <c r="N62" s="932">
        <f>L62*'Emission Factors'!$D$12</f>
        <v>0</v>
      </c>
      <c r="O62" s="419">
        <f>L62*'Emission Factors'!$F$12</f>
        <v>0</v>
      </c>
    </row>
    <row r="63" spans="2:15" s="13" customFormat="1" x14ac:dyDescent="0.2">
      <c r="B63" s="619" t="s">
        <v>485</v>
      </c>
      <c r="C63" s="646">
        <f>SUMIF($C$108:$C$206,"Retail (non-mall)",$F$108:$F$206)</f>
        <v>0</v>
      </c>
      <c r="D63" s="646">
        <f>SUMIF($C$108:$C$206,"Retail (non-mall)",$E$108:$E$206)</f>
        <v>0</v>
      </c>
      <c r="E63" s="620" t="str">
        <f t="shared" si="6"/>
        <v>N/A</v>
      </c>
      <c r="F63" s="372">
        <v>1434</v>
      </c>
      <c r="G63" s="372" t="e">
        <f>F63/E63</f>
        <v>#VALUE!</v>
      </c>
      <c r="H63" s="372">
        <v>312</v>
      </c>
      <c r="I63" s="616">
        <f>(H63-$H$65)/$H$65</f>
        <v>-0.326133909287257</v>
      </c>
      <c r="J63" s="1317">
        <f t="shared" ref="J63:J71" si="8">115/287</f>
        <v>0.40069686411149824</v>
      </c>
      <c r="K63" s="618" t="e">
        <f t="shared" si="7"/>
        <v>#VALUE!</v>
      </c>
      <c r="L63" s="930" t="e">
        <f>K63*'Emission Factors'!$D$137</f>
        <v>#VALUE!</v>
      </c>
      <c r="M63" s="931" t="e">
        <f>L63*'Emission Factors'!$E$12</f>
        <v>#VALUE!</v>
      </c>
      <c r="N63" s="932" t="e">
        <f>L63*'Emission Factors'!$D$12</f>
        <v>#VALUE!</v>
      </c>
      <c r="O63" s="419" t="e">
        <f>L63*'Emission Factors'!$F$12</f>
        <v>#VALUE!</v>
      </c>
    </row>
    <row r="64" spans="2:15" s="13" customFormat="1" x14ac:dyDescent="0.2">
      <c r="B64" s="619" t="s">
        <v>526</v>
      </c>
      <c r="C64" s="646">
        <f>SUMIF($C$108:$C$206,"Retail (mall)",$F$108:$F$206)</f>
        <v>0</v>
      </c>
      <c r="D64" s="646">
        <f>SUMIF($C$108:$C$206,"Retail (mall)",$E$108:$E$206)</f>
        <v>0</v>
      </c>
      <c r="E64" s="620" t="str">
        <f t="shared" si="6"/>
        <v>N/A</v>
      </c>
      <c r="F64" s="372">
        <f>$F$65+($F$65*I64)</f>
        <v>5675.0799136069108</v>
      </c>
      <c r="G64" s="372" t="e">
        <f>F64/E64</f>
        <v>#VALUE!</v>
      </c>
      <c r="H64" s="372">
        <v>1714</v>
      </c>
      <c r="I64" s="616">
        <f>(H64-$H$65)/$H$65</f>
        <v>2.7019438444924404</v>
      </c>
      <c r="J64" s="1317">
        <f t="shared" si="8"/>
        <v>0.40069686411149824</v>
      </c>
      <c r="K64" s="618" t="e">
        <f t="shared" si="7"/>
        <v>#VALUE!</v>
      </c>
      <c r="L64" s="930" t="e">
        <f>K64*'Emission Factors'!$D$137</f>
        <v>#VALUE!</v>
      </c>
      <c r="M64" s="931" t="e">
        <f>L64*'Emission Factors'!$E$12</f>
        <v>#VALUE!</v>
      </c>
      <c r="N64" s="932" t="e">
        <f>L64*'Emission Factors'!$D$12</f>
        <v>#VALUE!</v>
      </c>
      <c r="O64" s="419" t="e">
        <f>L64*'Emission Factors'!$F$12</f>
        <v>#VALUE!</v>
      </c>
    </row>
    <row r="65" spans="2:15" s="13" customFormat="1" x14ac:dyDescent="0.2">
      <c r="B65" s="619" t="s">
        <v>264</v>
      </c>
      <c r="C65" s="646">
        <f>SUMIF($C$108:$C$206,"Office",$F$108:$F$206)</f>
        <v>0</v>
      </c>
      <c r="D65" s="646">
        <f>SUMIF($C$108:$C$206,"Office",$E$108:$E$206)</f>
        <v>0</v>
      </c>
      <c r="E65" s="620" t="str">
        <f t="shared" si="6"/>
        <v>N/A</v>
      </c>
      <c r="F65" s="372">
        <v>1533</v>
      </c>
      <c r="G65" s="1315">
        <v>11</v>
      </c>
      <c r="H65" s="1315">
        <v>463</v>
      </c>
      <c r="I65" s="622"/>
      <c r="J65" s="1317">
        <f t="shared" si="8"/>
        <v>0.40069686411149824</v>
      </c>
      <c r="K65" s="618">
        <f t="shared" si="7"/>
        <v>0</v>
      </c>
      <c r="L65" s="930">
        <f>K65*'Emission Factors'!$D$137</f>
        <v>0</v>
      </c>
      <c r="M65" s="931">
        <f>L65*'Emission Factors'!$E$12</f>
        <v>0</v>
      </c>
      <c r="N65" s="932">
        <f>L65*'Emission Factors'!$D$12</f>
        <v>0</v>
      </c>
      <c r="O65" s="419">
        <f>L65*'Emission Factors'!$F$12</f>
        <v>0</v>
      </c>
    </row>
    <row r="66" spans="2:15" s="13" customFormat="1" x14ac:dyDescent="0.2">
      <c r="B66" s="619" t="s">
        <v>337</v>
      </c>
      <c r="C66" s="646">
        <f>SUMIF($C$108:$C$206,"Public Assembly",$F$108:$F$206)</f>
        <v>0</v>
      </c>
      <c r="D66" s="646">
        <f>SUMIF($C$108:$C$206,"Public Assembly",$E$108:$E$206)</f>
        <v>0</v>
      </c>
      <c r="E66" s="620" t="str">
        <f t="shared" si="6"/>
        <v>N/A</v>
      </c>
      <c r="F66" s="372">
        <v>1758</v>
      </c>
      <c r="G66" s="1315">
        <v>50</v>
      </c>
      <c r="H66" s="621"/>
      <c r="I66" s="622"/>
      <c r="J66" s="1317">
        <f t="shared" si="8"/>
        <v>0.40069686411149824</v>
      </c>
      <c r="K66" s="618">
        <f t="shared" si="7"/>
        <v>0</v>
      </c>
      <c r="L66" s="930">
        <f>K66*'Emission Factors'!$D$137</f>
        <v>0</v>
      </c>
      <c r="M66" s="931">
        <f>L66*'Emission Factors'!$E$12</f>
        <v>0</v>
      </c>
      <c r="N66" s="932">
        <f>L66*'Emission Factors'!$D$12</f>
        <v>0</v>
      </c>
      <c r="O66" s="419">
        <f>L66*'Emission Factors'!$F$12</f>
        <v>0</v>
      </c>
    </row>
    <row r="67" spans="2:15" s="13" customFormat="1" x14ac:dyDescent="0.2">
      <c r="B67" s="623" t="s">
        <v>486</v>
      </c>
      <c r="C67" s="646">
        <f>SUMIF($C$108:$C$206,"Public Order/ Safety",$F$108:$F$206)</f>
        <v>0</v>
      </c>
      <c r="D67" s="646">
        <f>SUMIF($C$108:$C$206,"Public Order/ Safety",$E$108:$E$206)</f>
        <v>0</v>
      </c>
      <c r="E67" s="620" t="str">
        <f t="shared" si="6"/>
        <v>N/A</v>
      </c>
      <c r="F67" s="372">
        <v>497</v>
      </c>
      <c r="G67" s="1315">
        <v>14</v>
      </c>
      <c r="H67" s="621"/>
      <c r="I67" s="622"/>
      <c r="J67" s="1317">
        <f t="shared" si="8"/>
        <v>0.40069686411149824</v>
      </c>
      <c r="K67" s="618">
        <f t="shared" si="7"/>
        <v>0</v>
      </c>
      <c r="L67" s="930">
        <f>K67*'Emission Factors'!$D$137</f>
        <v>0</v>
      </c>
      <c r="M67" s="931">
        <f>L67*'Emission Factors'!$E$12</f>
        <v>0</v>
      </c>
      <c r="N67" s="932">
        <f>L67*'Emission Factors'!$D$12</f>
        <v>0</v>
      </c>
      <c r="O67" s="419">
        <f>L67*'Emission Factors'!$F$12</f>
        <v>0</v>
      </c>
    </row>
    <row r="68" spans="2:15" s="13" customFormat="1" x14ac:dyDescent="0.2">
      <c r="B68" s="623" t="s">
        <v>338</v>
      </c>
      <c r="C68" s="646">
        <f>SUMIF($C$108:$C$206,"Religious Worship",$F$108:$F$206)</f>
        <v>0</v>
      </c>
      <c r="D68" s="646">
        <f>SUMIF($C$108:$C$206,"Religious Worship",$E$108:$E$206)</f>
        <v>0</v>
      </c>
      <c r="E68" s="620" t="str">
        <f t="shared" si="6"/>
        <v>N/A</v>
      </c>
      <c r="F68" s="372">
        <v>1656</v>
      </c>
      <c r="G68" s="1315">
        <v>238</v>
      </c>
      <c r="H68" s="621"/>
      <c r="I68" s="622"/>
      <c r="J68" s="1317">
        <f t="shared" si="8"/>
        <v>0.40069686411149824</v>
      </c>
      <c r="K68" s="618">
        <f t="shared" si="7"/>
        <v>0</v>
      </c>
      <c r="L68" s="930">
        <f>K68*'Emission Factors'!$D$137</f>
        <v>0</v>
      </c>
      <c r="M68" s="931">
        <f>L68*'Emission Factors'!$E$12</f>
        <v>0</v>
      </c>
      <c r="N68" s="932">
        <f>L68*'Emission Factors'!$D$12</f>
        <v>0</v>
      </c>
      <c r="O68" s="419">
        <f>L68*'Emission Factors'!$F$12</f>
        <v>0</v>
      </c>
    </row>
    <row r="69" spans="2:15" s="13" customFormat="1" x14ac:dyDescent="0.2">
      <c r="B69" s="623" t="s">
        <v>265</v>
      </c>
      <c r="C69" s="646">
        <f>SUMIF($C$108:$C$206,"Service",$F$108:$F$206)</f>
        <v>0</v>
      </c>
      <c r="D69" s="646">
        <f>SUMIF($C$108:$C$206,"Service",$E$108:$E$206)</f>
        <v>0</v>
      </c>
      <c r="E69" s="620" t="str">
        <f t="shared" si="6"/>
        <v>N/A</v>
      </c>
      <c r="F69" s="372">
        <v>1385</v>
      </c>
      <c r="G69" s="1315">
        <v>220</v>
      </c>
      <c r="H69" s="621"/>
      <c r="I69" s="622"/>
      <c r="J69" s="1317">
        <f t="shared" si="8"/>
        <v>0.40069686411149824</v>
      </c>
      <c r="K69" s="618">
        <f t="shared" si="7"/>
        <v>0</v>
      </c>
      <c r="L69" s="930">
        <f>K69*'Emission Factors'!$D$137</f>
        <v>0</v>
      </c>
      <c r="M69" s="931">
        <f>L69*'Emission Factors'!$E$12</f>
        <v>0</v>
      </c>
      <c r="N69" s="932">
        <f>L69*'Emission Factors'!$D$12</f>
        <v>0</v>
      </c>
      <c r="O69" s="419">
        <f>L69*'Emission Factors'!$F$12</f>
        <v>0</v>
      </c>
    </row>
    <row r="70" spans="2:15" s="13" customFormat="1" x14ac:dyDescent="0.2">
      <c r="B70" s="623" t="s">
        <v>487</v>
      </c>
      <c r="C70" s="646">
        <f>SUMIF($C$108:$C$206,"Warehouse/ Storage",$F$108:$F$206)</f>
        <v>0</v>
      </c>
      <c r="D70" s="646">
        <f>SUMIF($C$108:$C$206,"Warehouse/ Storage",$E$108:$E$206)</f>
        <v>0</v>
      </c>
      <c r="E70" s="620" t="str">
        <f t="shared" si="6"/>
        <v>N/A</v>
      </c>
      <c r="F70" s="372">
        <v>1474</v>
      </c>
      <c r="G70" s="1315">
        <v>51</v>
      </c>
      <c r="H70" s="621"/>
      <c r="I70" s="622"/>
      <c r="J70" s="1317">
        <f t="shared" si="8"/>
        <v>0.40069686411149824</v>
      </c>
      <c r="K70" s="618">
        <f t="shared" si="7"/>
        <v>0</v>
      </c>
      <c r="L70" s="930">
        <f>K70*'Emission Factors'!$D$137</f>
        <v>0</v>
      </c>
      <c r="M70" s="931">
        <f>L70*'Emission Factors'!$E$12</f>
        <v>0</v>
      </c>
      <c r="N70" s="932">
        <f>L70*'Emission Factors'!$D$12</f>
        <v>0</v>
      </c>
      <c r="O70" s="419">
        <f>L70*'Emission Factors'!$F$12</f>
        <v>0</v>
      </c>
    </row>
    <row r="71" spans="2:15" s="13" customFormat="1" ht="13.5" thickBot="1" x14ac:dyDescent="0.25">
      <c r="B71" s="624" t="s">
        <v>266</v>
      </c>
      <c r="C71" s="646">
        <f>SUMIF($C$108:$C$206,"Other",$F$108:$F$206)</f>
        <v>0</v>
      </c>
      <c r="D71" s="646">
        <f>SUMIF($C$108:$C$206,"Other",$E$108:$E$206)</f>
        <v>0</v>
      </c>
      <c r="E71" s="620" t="str">
        <f t="shared" si="6"/>
        <v>N/A</v>
      </c>
      <c r="F71" s="376">
        <v>2545</v>
      </c>
      <c r="G71" s="1316">
        <v>110</v>
      </c>
      <c r="H71" s="625"/>
      <c r="I71" s="626"/>
      <c r="J71" s="1318">
        <f t="shared" si="8"/>
        <v>0.40069686411149824</v>
      </c>
      <c r="K71" s="618">
        <f t="shared" si="7"/>
        <v>0</v>
      </c>
      <c r="L71" s="933">
        <f>K71*'Emission Factors'!$D$137</f>
        <v>0</v>
      </c>
      <c r="M71" s="934">
        <f>L71*'Emission Factors'!$E$12</f>
        <v>0</v>
      </c>
      <c r="N71" s="935">
        <f>L71*'Emission Factors'!$D$12</f>
        <v>0</v>
      </c>
      <c r="O71" s="936">
        <f>L71*'Emission Factors'!$F$12</f>
        <v>0</v>
      </c>
    </row>
    <row r="72" spans="2:15" s="13" customFormat="1" ht="13.5" thickBot="1" x14ac:dyDescent="0.25">
      <c r="B72" s="204" t="s">
        <v>1144</v>
      </c>
      <c r="C72" s="632"/>
      <c r="D72" s="632"/>
      <c r="E72" s="633"/>
      <c r="F72" s="632"/>
      <c r="G72" s="633"/>
      <c r="H72" s="633"/>
      <c r="I72" s="633"/>
      <c r="J72" s="633"/>
      <c r="K72" s="634">
        <f>SUMIF(K57:K71,"&lt;&gt;#VALUE!",K57:K71)</f>
        <v>0</v>
      </c>
      <c r="L72" s="1898">
        <f>SUMIF(L57:L71,"&lt;&gt;#VALUE!",L57:L71)</f>
        <v>0</v>
      </c>
      <c r="M72" s="110">
        <f t="shared" ref="M72:O72" si="9">SUMIF(M57:M71,"&lt;&gt;#VALUE!",M57:M71)</f>
        <v>0</v>
      </c>
      <c r="N72" s="1899">
        <f t="shared" si="9"/>
        <v>0</v>
      </c>
      <c r="O72" s="634">
        <f t="shared" si="9"/>
        <v>0</v>
      </c>
    </row>
    <row r="73" spans="2:15" s="13" customFormat="1" ht="53.25" customHeight="1" x14ac:dyDescent="0.2">
      <c r="B73" s="2247" t="s">
        <v>1180</v>
      </c>
      <c r="C73" s="2248"/>
      <c r="D73" s="2248"/>
      <c r="E73" s="2248"/>
      <c r="F73" s="627" t="s">
        <v>506</v>
      </c>
    </row>
    <row r="74" spans="2:15" s="13" customFormat="1" ht="69.75" customHeight="1" x14ac:dyDescent="0.2">
      <c r="B74" s="2249" t="s">
        <v>1668</v>
      </c>
      <c r="C74" s="2250"/>
      <c r="D74" s="2250"/>
      <c r="E74" s="2250"/>
      <c r="F74" s="605" t="s">
        <v>576</v>
      </c>
      <c r="G74" s="563"/>
    </row>
    <row r="75" spans="2:15" s="13" customFormat="1" ht="31.5" customHeight="1" thickBot="1" x14ac:dyDescent="0.25">
      <c r="B75" s="2240" t="s">
        <v>1669</v>
      </c>
      <c r="C75" s="2241"/>
      <c r="D75" s="2241"/>
      <c r="E75" s="2241"/>
      <c r="F75" s="606" t="s">
        <v>577</v>
      </c>
    </row>
    <row r="76" spans="2:15" s="13" customFormat="1" ht="13.5" thickBot="1" x14ac:dyDescent="0.25">
      <c r="B76" s="595"/>
      <c r="C76" s="595"/>
      <c r="D76" s="595"/>
      <c r="F76" s="595"/>
      <c r="G76" s="595"/>
      <c r="H76" s="595"/>
      <c r="I76" s="595"/>
    </row>
    <row r="77" spans="2:15" s="13" customFormat="1" ht="15.75" customHeight="1" thickBot="1" x14ac:dyDescent="0.25">
      <c r="B77" s="2012" t="s">
        <v>584</v>
      </c>
      <c r="C77" s="1965"/>
      <c r="D77" s="1965"/>
      <c r="E77" s="1965"/>
      <c r="F77" s="1965"/>
      <c r="G77" s="1965"/>
      <c r="H77" s="1965"/>
      <c r="I77" s="1965"/>
      <c r="J77" s="1965"/>
      <c r="K77" s="1965"/>
      <c r="L77" s="1965"/>
      <c r="M77" s="1966"/>
    </row>
    <row r="78" spans="2:15" s="13" customFormat="1" ht="51" x14ac:dyDescent="0.2">
      <c r="B78" s="151" t="s">
        <v>556</v>
      </c>
      <c r="C78" s="101" t="s">
        <v>554</v>
      </c>
      <c r="D78" s="101" t="s">
        <v>555</v>
      </c>
      <c r="E78" s="101" t="s">
        <v>545</v>
      </c>
      <c r="F78" s="101" t="s">
        <v>546</v>
      </c>
      <c r="G78" s="101" t="s">
        <v>547</v>
      </c>
      <c r="H78" s="101" t="s">
        <v>548</v>
      </c>
      <c r="I78" s="1105" t="s">
        <v>549</v>
      </c>
      <c r="J78" s="667" t="s">
        <v>98</v>
      </c>
      <c r="K78" s="216" t="s">
        <v>344</v>
      </c>
      <c r="L78" s="216" t="s">
        <v>345</v>
      </c>
      <c r="M78" s="615" t="s">
        <v>346</v>
      </c>
    </row>
    <row r="79" spans="2:15" s="13" customFormat="1" x14ac:dyDescent="0.2">
      <c r="B79" s="619" t="s">
        <v>267</v>
      </c>
      <c r="C79" s="646">
        <f>SUMIF($C$108:$C$206,"Food",$F$108:$F$206)</f>
        <v>0</v>
      </c>
      <c r="D79" s="646">
        <f>SUMIF($C$108:$C$206,"Food",$E$108:$E$206)</f>
        <v>0</v>
      </c>
      <c r="E79" s="620">
        <v>494.5</v>
      </c>
      <c r="F79" s="620">
        <v>1113</v>
      </c>
      <c r="G79" s="620">
        <v>20</v>
      </c>
      <c r="H79" s="647">
        <f>G79/F79</f>
        <v>1.7969451931716084E-2</v>
      </c>
      <c r="I79" s="669">
        <f>J79/'Emission Factors'!$D$137</f>
        <v>0</v>
      </c>
      <c r="J79" s="937">
        <f t="shared" ref="J79:J99" si="10">C79*E79*H79</f>
        <v>0</v>
      </c>
      <c r="K79" s="938">
        <f>$J79*'Emission Factors'!$E$12</f>
        <v>0</v>
      </c>
      <c r="L79" s="939">
        <f>J79*'Emission Factors'!$D$12</f>
        <v>0</v>
      </c>
      <c r="M79" s="940">
        <f>J79*'Emission Factors'!$F$12</f>
        <v>0</v>
      </c>
    </row>
    <row r="80" spans="2:15" s="13" customFormat="1" x14ac:dyDescent="0.2">
      <c r="B80" s="619" t="s">
        <v>511</v>
      </c>
      <c r="C80" s="646">
        <f>SUMIF($C$108:$C$206,"Beverage and Tobacco Products",$F$108:$F$206)</f>
        <v>0</v>
      </c>
      <c r="D80" s="646">
        <f>SUMIF($C$108:$C$206,"Beverage and Tobacco Products",$E$108:$E$206)</f>
        <v>0</v>
      </c>
      <c r="E80" s="620">
        <v>604.79999999999995</v>
      </c>
      <c r="F80" s="620">
        <v>95</v>
      </c>
      <c r="G80" s="620">
        <v>1</v>
      </c>
      <c r="H80" s="647">
        <f t="shared" ref="H80:H99" si="11">G80/F80</f>
        <v>1.0526315789473684E-2</v>
      </c>
      <c r="I80" s="669">
        <f>J80/'Emission Factors'!$D$137</f>
        <v>0</v>
      </c>
      <c r="J80" s="941">
        <f t="shared" si="10"/>
        <v>0</v>
      </c>
      <c r="K80" s="942">
        <f>$J80*'Emission Factors'!$E$12</f>
        <v>0</v>
      </c>
      <c r="L80" s="932">
        <f>J80*'Emission Factors'!$D$12</f>
        <v>0</v>
      </c>
      <c r="M80" s="943">
        <f>J80*'Emission Factors'!$F$12</f>
        <v>0</v>
      </c>
    </row>
    <row r="81" spans="2:13" s="13" customFormat="1" x14ac:dyDescent="0.2">
      <c r="B81" s="619" t="s">
        <v>512</v>
      </c>
      <c r="C81" s="646">
        <f>SUMIF($C$108:$C$206,"Textile Mills",$F$108:$F$206)</f>
        <v>0</v>
      </c>
      <c r="D81" s="646">
        <f>SUMIF($C$108:$C$206,"Textile Mills",$E$108:$E$206)</f>
        <v>0</v>
      </c>
      <c r="E81" s="620">
        <v>893.8</v>
      </c>
      <c r="F81" s="620">
        <v>97</v>
      </c>
      <c r="G81" s="620">
        <v>0</v>
      </c>
      <c r="H81" s="647">
        <f t="shared" si="11"/>
        <v>0</v>
      </c>
      <c r="I81" s="669">
        <f>J81/'Emission Factors'!$D$137</f>
        <v>0</v>
      </c>
      <c r="J81" s="941">
        <f t="shared" si="10"/>
        <v>0</v>
      </c>
      <c r="K81" s="942">
        <f>$J81*'Emission Factors'!$E$12</f>
        <v>0</v>
      </c>
      <c r="L81" s="932">
        <f>J81*'Emission Factors'!$D$12</f>
        <v>0</v>
      </c>
      <c r="M81" s="943">
        <f>J81*'Emission Factors'!$F$12</f>
        <v>0</v>
      </c>
    </row>
    <row r="82" spans="2:13" s="13" customFormat="1" x14ac:dyDescent="0.2">
      <c r="B82" s="619" t="s">
        <v>513</v>
      </c>
      <c r="C82" s="646">
        <f>SUMIF($C$108:$C$206,"Textile Product Mills",$F$108:$F$206)</f>
        <v>0</v>
      </c>
      <c r="D82" s="646">
        <f>SUMIF($C$108:$C$206,"Textile Product Mills",$E$108:$E$206)</f>
        <v>0</v>
      </c>
      <c r="E82" s="620">
        <v>230.8</v>
      </c>
      <c r="F82" s="620">
        <v>28</v>
      </c>
      <c r="G82" s="620">
        <v>0</v>
      </c>
      <c r="H82" s="647">
        <f t="shared" si="11"/>
        <v>0</v>
      </c>
      <c r="I82" s="669">
        <f>J82/'Emission Factors'!$D$137</f>
        <v>0</v>
      </c>
      <c r="J82" s="941">
        <f t="shared" si="10"/>
        <v>0</v>
      </c>
      <c r="K82" s="942">
        <f>$J82*'Emission Factors'!$E$12</f>
        <v>0</v>
      </c>
      <c r="L82" s="932">
        <f>J82*'Emission Factors'!$D$12</f>
        <v>0</v>
      </c>
      <c r="M82" s="943">
        <f>J82*'Emission Factors'!$F$12</f>
        <v>0</v>
      </c>
    </row>
    <row r="83" spans="2:13" s="13" customFormat="1" x14ac:dyDescent="0.2">
      <c r="B83" s="619" t="s">
        <v>514</v>
      </c>
      <c r="C83" s="646">
        <f>SUMIF($C$108:$C$206,"Apparel",$F$108:$F$206)</f>
        <v>0</v>
      </c>
      <c r="D83" s="646">
        <f>SUMIF($C$108:$C$206,"Apparel",$E$108:$E$206)</f>
        <v>0</v>
      </c>
      <c r="E83" s="620">
        <v>38.799999999999997</v>
      </c>
      <c r="F83" s="620">
        <v>5</v>
      </c>
      <c r="G83" s="620">
        <v>0</v>
      </c>
      <c r="H83" s="647">
        <f t="shared" si="11"/>
        <v>0</v>
      </c>
      <c r="I83" s="669">
        <f>J83/'Emission Factors'!$D$137</f>
        <v>0</v>
      </c>
      <c r="J83" s="941">
        <f t="shared" si="10"/>
        <v>0</v>
      </c>
      <c r="K83" s="942">
        <f>$J83*'Emission Factors'!$E$12</f>
        <v>0</v>
      </c>
      <c r="L83" s="932">
        <f>J83*'Emission Factors'!$D$12</f>
        <v>0</v>
      </c>
      <c r="M83" s="943">
        <f>J83*'Emission Factors'!$F$12</f>
        <v>0</v>
      </c>
    </row>
    <row r="84" spans="2:13" s="13" customFormat="1" x14ac:dyDescent="0.2">
      <c r="B84" s="619" t="s">
        <v>515</v>
      </c>
      <c r="C84" s="646">
        <f>SUMIF($C$108:$C$206,"Leather and Allied Products",$F$108:$F$206)</f>
        <v>0</v>
      </c>
      <c r="D84" s="646">
        <f>SUMIF($C$108:$C$206,"Leather and Allied Products",$E$108:$E$206)</f>
        <v>0</v>
      </c>
      <c r="E84" s="620">
        <v>96.1</v>
      </c>
      <c r="F84" s="620">
        <v>3</v>
      </c>
      <c r="G84" s="620">
        <v>0</v>
      </c>
      <c r="H84" s="647">
        <f t="shared" si="11"/>
        <v>0</v>
      </c>
      <c r="I84" s="669">
        <f>J84/'Emission Factors'!$D$137</f>
        <v>0</v>
      </c>
      <c r="J84" s="941">
        <f t="shared" si="10"/>
        <v>0</v>
      </c>
      <c r="K84" s="942">
        <f>$J84*'Emission Factors'!$E$12</f>
        <v>0</v>
      </c>
      <c r="L84" s="932">
        <f>J84*'Emission Factors'!$D$12</f>
        <v>0</v>
      </c>
      <c r="M84" s="943">
        <f>J84*'Emission Factors'!$F$12</f>
        <v>0</v>
      </c>
    </row>
    <row r="85" spans="2:13" s="13" customFormat="1" x14ac:dyDescent="0.2">
      <c r="B85" s="619" t="s">
        <v>516</v>
      </c>
      <c r="C85" s="646">
        <f>SUMIF($C$108:$C$206,"Wood Products",$F$108:$F$206)</f>
        <v>0</v>
      </c>
      <c r="D85" s="646">
        <f>SUMIF($C$108:$C$206,"Wood Products",$E$108:$E$206)</f>
        <v>0</v>
      </c>
      <c r="E85" s="620">
        <v>1459.7</v>
      </c>
      <c r="F85" s="620">
        <v>386</v>
      </c>
      <c r="G85" s="620">
        <v>10</v>
      </c>
      <c r="H85" s="647">
        <f t="shared" si="11"/>
        <v>2.5906735751295335E-2</v>
      </c>
      <c r="I85" s="669">
        <f>J85/'Emission Factors'!$D$137</f>
        <v>0</v>
      </c>
      <c r="J85" s="941">
        <f t="shared" si="10"/>
        <v>0</v>
      </c>
      <c r="K85" s="942">
        <f>$J85*'Emission Factors'!$E$12</f>
        <v>0</v>
      </c>
      <c r="L85" s="932">
        <f>J85*'Emission Factors'!$D$12</f>
        <v>0</v>
      </c>
      <c r="M85" s="943">
        <f>J85*'Emission Factors'!$F$12</f>
        <v>0</v>
      </c>
    </row>
    <row r="86" spans="2:13" s="13" customFormat="1" x14ac:dyDescent="0.2">
      <c r="B86" s="619" t="s">
        <v>23</v>
      </c>
      <c r="C86" s="646">
        <f>SUMIF($C$108:$C$206,"Paper",$F$108:$F$206)</f>
        <v>0</v>
      </c>
      <c r="D86" s="646">
        <f>SUMIF($C$108:$C$206,"Paper",$E$108:$E$206)</f>
        <v>0</v>
      </c>
      <c r="E86" s="620">
        <v>3980.6</v>
      </c>
      <c r="F86" s="620">
        <v>2087</v>
      </c>
      <c r="G86" s="620">
        <v>5</v>
      </c>
      <c r="H86" s="647">
        <f t="shared" si="11"/>
        <v>2.3957834211787254E-3</v>
      </c>
      <c r="I86" s="669">
        <f>J86/'Emission Factors'!$D$137</f>
        <v>0</v>
      </c>
      <c r="J86" s="941">
        <f t="shared" si="10"/>
        <v>0</v>
      </c>
      <c r="K86" s="942">
        <f>$J86*'Emission Factors'!$E$12</f>
        <v>0</v>
      </c>
      <c r="L86" s="932">
        <f>J86*'Emission Factors'!$D$12</f>
        <v>0</v>
      </c>
      <c r="M86" s="943">
        <f>J86*'Emission Factors'!$F$12</f>
        <v>0</v>
      </c>
    </row>
    <row r="87" spans="2:13" s="13" customFormat="1" x14ac:dyDescent="0.2">
      <c r="B87" s="619" t="s">
        <v>268</v>
      </c>
      <c r="C87" s="646">
        <f>SUMIF($C$108:$C$206,"Printing and Related Support",$F$108:$F$206)</f>
        <v>0</v>
      </c>
      <c r="D87" s="646">
        <f>SUMIF($C$108:$C$206,"Printing and Related Support",$E$108:$E$206)</f>
        <v>0</v>
      </c>
      <c r="E87" s="620">
        <v>164.3</v>
      </c>
      <c r="F87" s="620">
        <v>90</v>
      </c>
      <c r="G87" s="620">
        <v>0</v>
      </c>
      <c r="H87" s="647">
        <f t="shared" si="11"/>
        <v>0</v>
      </c>
      <c r="I87" s="669">
        <f>J87/'Emission Factors'!$D$137</f>
        <v>0</v>
      </c>
      <c r="J87" s="941">
        <f t="shared" si="10"/>
        <v>0</v>
      </c>
      <c r="K87" s="942">
        <f>$J87*'Emission Factors'!$E$12</f>
        <v>0</v>
      </c>
      <c r="L87" s="932">
        <f>J87*'Emission Factors'!$D$12</f>
        <v>0</v>
      </c>
      <c r="M87" s="943">
        <f>J87*'Emission Factors'!$F$12</f>
        <v>0</v>
      </c>
    </row>
    <row r="88" spans="2:13" s="13" customFormat="1" x14ac:dyDescent="0.2">
      <c r="B88" s="619" t="s">
        <v>517</v>
      </c>
      <c r="C88" s="646">
        <f>SUMIF($C$108:$C$206,"Petroleum and Coal Products",$F$108:$F$206)</f>
        <v>0</v>
      </c>
      <c r="D88" s="646">
        <f>SUMIF($C$108:$C$206,"Petroleum and Coal Products",$E$108:$E$206)</f>
        <v>0</v>
      </c>
      <c r="E88" s="620">
        <v>17355</v>
      </c>
      <c r="F88" s="620">
        <v>4168</v>
      </c>
      <c r="G88" s="620">
        <v>11</v>
      </c>
      <c r="H88" s="647">
        <f t="shared" si="11"/>
        <v>2.6391554702495201E-3</v>
      </c>
      <c r="I88" s="669">
        <f>J88/'Emission Factors'!$D$137</f>
        <v>0</v>
      </c>
      <c r="J88" s="941">
        <f t="shared" si="10"/>
        <v>0</v>
      </c>
      <c r="K88" s="942">
        <f>$J88*'Emission Factors'!$E$12</f>
        <v>0</v>
      </c>
      <c r="L88" s="932">
        <f>J88*'Emission Factors'!$D$12</f>
        <v>0</v>
      </c>
      <c r="M88" s="943">
        <f>J88*'Emission Factors'!$F$12</f>
        <v>0</v>
      </c>
    </row>
    <row r="89" spans="2:13" s="13" customFormat="1" x14ac:dyDescent="0.2">
      <c r="B89" s="619" t="s">
        <v>269</v>
      </c>
      <c r="C89" s="646">
        <f>SUMIF($C$108:$C$206,"Chemicals",$F$108:$F$206)</f>
        <v>0</v>
      </c>
      <c r="D89" s="646">
        <f>SUMIF($C$108:$C$206,"Chemicals",$E$108:$E$206)</f>
        <v>0</v>
      </c>
      <c r="E89" s="620">
        <v>1101.5</v>
      </c>
      <c r="F89" s="620">
        <v>6297</v>
      </c>
      <c r="G89" s="620">
        <v>10</v>
      </c>
      <c r="H89" s="647">
        <f t="shared" si="11"/>
        <v>1.588057805304113E-3</v>
      </c>
      <c r="I89" s="669">
        <f>J89/'Emission Factors'!$D$137</f>
        <v>0</v>
      </c>
      <c r="J89" s="941">
        <f t="shared" si="10"/>
        <v>0</v>
      </c>
      <c r="K89" s="942">
        <f>$J89*'Emission Factors'!$E$12</f>
        <v>0</v>
      </c>
      <c r="L89" s="932">
        <f>J89*'Emission Factors'!$D$12</f>
        <v>0</v>
      </c>
      <c r="M89" s="943">
        <f>J89*'Emission Factors'!$F$12</f>
        <v>0</v>
      </c>
    </row>
    <row r="90" spans="2:13" s="13" customFormat="1" x14ac:dyDescent="0.2">
      <c r="B90" s="619" t="s">
        <v>518</v>
      </c>
      <c r="C90" s="646">
        <f>SUMIF($C$108:$C$206,"Plastics and Rubber Products",$F$108:$F$206)</f>
        <v>0</v>
      </c>
      <c r="D90" s="646">
        <f>SUMIF($C$108:$C$206,"Plastics and Rubber Products",$E$108:$E$206)</f>
        <v>0</v>
      </c>
      <c r="E90" s="620">
        <v>347.2</v>
      </c>
      <c r="F90" s="620">
        <v>295</v>
      </c>
      <c r="G90" s="620">
        <v>0</v>
      </c>
      <c r="H90" s="647">
        <f t="shared" si="11"/>
        <v>0</v>
      </c>
      <c r="I90" s="669">
        <f>J90/'Emission Factors'!$D$137</f>
        <v>0</v>
      </c>
      <c r="J90" s="941">
        <f t="shared" si="10"/>
        <v>0</v>
      </c>
      <c r="K90" s="942">
        <f>$J90*'Emission Factors'!$E$12</f>
        <v>0</v>
      </c>
      <c r="L90" s="932">
        <f>J90*'Emission Factors'!$D$12</f>
        <v>0</v>
      </c>
      <c r="M90" s="943">
        <f>J90*'Emission Factors'!$F$12</f>
        <v>0</v>
      </c>
    </row>
    <row r="91" spans="2:13" s="13" customFormat="1" x14ac:dyDescent="0.2">
      <c r="B91" s="619" t="s">
        <v>519</v>
      </c>
      <c r="C91" s="646">
        <f>SUMIF($C$108:$C$206,"Nonmetallic Mineral Products",$F$108:$F$206)</f>
        <v>0</v>
      </c>
      <c r="D91" s="646">
        <f>SUMIF($C$108:$C$206,"Nonmetallic Mineral Products",$E$108:$E$206)</f>
        <v>0</v>
      </c>
      <c r="E91" s="620">
        <v>1623.6</v>
      </c>
      <c r="F91" s="620">
        <v>833</v>
      </c>
      <c r="G91" s="620">
        <v>19</v>
      </c>
      <c r="H91" s="647">
        <f t="shared" si="11"/>
        <v>2.2809123649459785E-2</v>
      </c>
      <c r="I91" s="669">
        <f>J91/'Emission Factors'!$D$137</f>
        <v>0</v>
      </c>
      <c r="J91" s="941">
        <f t="shared" si="10"/>
        <v>0</v>
      </c>
      <c r="K91" s="942">
        <f>$J91*'Emission Factors'!$E$12</f>
        <v>0</v>
      </c>
      <c r="L91" s="932">
        <f>J91*'Emission Factors'!$D$12</f>
        <v>0</v>
      </c>
      <c r="M91" s="943">
        <f>J91*'Emission Factors'!$F$12</f>
        <v>0</v>
      </c>
    </row>
    <row r="92" spans="2:13" s="13" customFormat="1" x14ac:dyDescent="0.2">
      <c r="B92" s="619" t="s">
        <v>520</v>
      </c>
      <c r="C92" s="646">
        <f>SUMIF($C$108:$C$206,"Primary Metals",$F$108:$F$206)</f>
        <v>0</v>
      </c>
      <c r="D92" s="646">
        <f>SUMIF($C$108:$C$206,"Primary Metals",$E$108:$E$206)</f>
        <v>0</v>
      </c>
      <c r="E92" s="620">
        <v>3320.1</v>
      </c>
      <c r="F92" s="620">
        <v>1641</v>
      </c>
      <c r="G92" s="620">
        <v>6</v>
      </c>
      <c r="H92" s="647">
        <f t="shared" si="11"/>
        <v>3.6563071297989031E-3</v>
      </c>
      <c r="I92" s="669">
        <f>J92/'Emission Factors'!$D$137</f>
        <v>0</v>
      </c>
      <c r="J92" s="941">
        <f t="shared" si="10"/>
        <v>0</v>
      </c>
      <c r="K92" s="942">
        <f>$J92*'Emission Factors'!$E$12</f>
        <v>0</v>
      </c>
      <c r="L92" s="932">
        <f>J92*'Emission Factors'!$D$12</f>
        <v>0</v>
      </c>
      <c r="M92" s="943">
        <f>J92*'Emission Factors'!$F$12</f>
        <v>0</v>
      </c>
    </row>
    <row r="93" spans="2:13" s="13" customFormat="1" x14ac:dyDescent="0.2">
      <c r="B93" s="619" t="s">
        <v>521</v>
      </c>
      <c r="C93" s="646">
        <f>SUMIF($C$108:$C$206,"Fabricated Metal Products",$F$108:$F$206)</f>
        <v>0</v>
      </c>
      <c r="D93" s="646">
        <f>SUMIF($C$108:$C$206,"Fabricated Metal Products",$E$108:$E$206)</f>
        <v>0</v>
      </c>
      <c r="E93" s="620">
        <v>207.7</v>
      </c>
      <c r="F93" s="620">
        <v>349</v>
      </c>
      <c r="G93" s="620">
        <v>2</v>
      </c>
      <c r="H93" s="647">
        <f t="shared" si="11"/>
        <v>5.7306590257879654E-3</v>
      </c>
      <c r="I93" s="669">
        <f>J93/'Emission Factors'!$D$137</f>
        <v>0</v>
      </c>
      <c r="J93" s="941">
        <f t="shared" si="10"/>
        <v>0</v>
      </c>
      <c r="K93" s="942">
        <f>$J93*'Emission Factors'!$E$12</f>
        <v>0</v>
      </c>
      <c r="L93" s="932">
        <f>J93*'Emission Factors'!$D$12</f>
        <v>0</v>
      </c>
      <c r="M93" s="943">
        <f>J93*'Emission Factors'!$F$12</f>
        <v>0</v>
      </c>
    </row>
    <row r="94" spans="2:13" s="13" customFormat="1" x14ac:dyDescent="0.2">
      <c r="B94" s="619" t="s">
        <v>522</v>
      </c>
      <c r="C94" s="646">
        <f>SUMIF($C$108:$C$206,"Machinery",$F$108:$F$206)</f>
        <v>0</v>
      </c>
      <c r="D94" s="646">
        <f>SUMIF($C$108:$C$206,"Machinery",$E$108:$E$206)</f>
        <v>0</v>
      </c>
      <c r="E94" s="620">
        <v>134.9</v>
      </c>
      <c r="F94" s="620">
        <v>165</v>
      </c>
      <c r="G94" s="620">
        <v>5</v>
      </c>
      <c r="H94" s="647">
        <f t="shared" si="11"/>
        <v>3.0303030303030304E-2</v>
      </c>
      <c r="I94" s="669">
        <f>J94/'Emission Factors'!$D$137</f>
        <v>0</v>
      </c>
      <c r="J94" s="941">
        <f t="shared" si="10"/>
        <v>0</v>
      </c>
      <c r="K94" s="942">
        <f>$J94*'Emission Factors'!$E$12</f>
        <v>0</v>
      </c>
      <c r="L94" s="932">
        <f>J94*'Emission Factors'!$D$12</f>
        <v>0</v>
      </c>
      <c r="M94" s="943">
        <f>J94*'Emission Factors'!$F$12</f>
        <v>0</v>
      </c>
    </row>
    <row r="95" spans="2:13" s="13" customFormat="1" x14ac:dyDescent="0.2">
      <c r="B95" s="619" t="s">
        <v>270</v>
      </c>
      <c r="C95" s="646">
        <f>SUMIF($C$108:$C$206,"Computer and Electronic Products",$F$108:$F$206)</f>
        <v>0</v>
      </c>
      <c r="D95" s="646">
        <f>SUMIF($C$108:$C$206,"Computer and Electronic Products",$E$108:$E$206)</f>
        <v>0</v>
      </c>
      <c r="E95" s="620">
        <v>152.1</v>
      </c>
      <c r="F95" s="620">
        <v>162</v>
      </c>
      <c r="G95" s="620">
        <v>1</v>
      </c>
      <c r="H95" s="647">
        <f t="shared" si="11"/>
        <v>6.1728395061728392E-3</v>
      </c>
      <c r="I95" s="669">
        <f>J95/'Emission Factors'!$D$137</f>
        <v>0</v>
      </c>
      <c r="J95" s="941">
        <f t="shared" si="10"/>
        <v>0</v>
      </c>
      <c r="K95" s="942">
        <f>$J95*'Emission Factors'!$E$12</f>
        <v>0</v>
      </c>
      <c r="L95" s="932">
        <f>J95*'Emission Factors'!$D$12</f>
        <v>0</v>
      </c>
      <c r="M95" s="943">
        <f>J95*'Emission Factors'!$F$12</f>
        <v>0</v>
      </c>
    </row>
    <row r="96" spans="2:13" s="13" customFormat="1" x14ac:dyDescent="0.2">
      <c r="B96" s="619" t="s">
        <v>523</v>
      </c>
      <c r="C96" s="646">
        <f>SUMIF($C$108:$C$206,"Electrical Equip., Appliances, and Components",$F$108:$F$206)</f>
        <v>0</v>
      </c>
      <c r="D96" s="646">
        <f>SUMIF($C$108:$C$206,"Electrical Equip., Appliances, and Components",$E$108:$E$206)</f>
        <v>0</v>
      </c>
      <c r="E96" s="620">
        <v>261.8</v>
      </c>
      <c r="F96" s="620">
        <v>74</v>
      </c>
      <c r="G96" s="620">
        <v>0</v>
      </c>
      <c r="H96" s="647">
        <f t="shared" si="11"/>
        <v>0</v>
      </c>
      <c r="I96" s="669">
        <f>J96/'Emission Factors'!$D$137</f>
        <v>0</v>
      </c>
      <c r="J96" s="941">
        <f t="shared" si="10"/>
        <v>0</v>
      </c>
      <c r="K96" s="942">
        <f>$J96*'Emission Factors'!$E$12</f>
        <v>0</v>
      </c>
      <c r="L96" s="932">
        <f>J96*'Emission Factors'!$D$12</f>
        <v>0</v>
      </c>
      <c r="M96" s="943">
        <f>J96*'Emission Factors'!$F$12</f>
        <v>0</v>
      </c>
    </row>
    <row r="97" spans="2:15" s="13" customFormat="1" x14ac:dyDescent="0.2">
      <c r="B97" s="619" t="s">
        <v>524</v>
      </c>
      <c r="C97" s="646">
        <f>SUMIF($C$108:$C$206,"Transportation Equipment",$F$108:$F$206)</f>
        <v>0</v>
      </c>
      <c r="D97" s="646">
        <f>SUMIF($C$108:$C$206,"Transportation Equipment",$E$108:$E$206)</f>
        <v>0</v>
      </c>
      <c r="E97" s="620">
        <v>231.9</v>
      </c>
      <c r="F97" s="620">
        <v>323</v>
      </c>
      <c r="G97" s="620">
        <v>4</v>
      </c>
      <c r="H97" s="647">
        <f t="shared" si="11"/>
        <v>1.238390092879257E-2</v>
      </c>
      <c r="I97" s="669">
        <f>J97/'Emission Factors'!$D$137</f>
        <v>0</v>
      </c>
      <c r="J97" s="941">
        <f t="shared" si="10"/>
        <v>0</v>
      </c>
      <c r="K97" s="942">
        <f>$J97*'Emission Factors'!$E$12</f>
        <v>0</v>
      </c>
      <c r="L97" s="932">
        <f>J97*'Emission Factors'!$D$12</f>
        <v>0</v>
      </c>
      <c r="M97" s="943">
        <f>J97*'Emission Factors'!$F$12</f>
        <v>0</v>
      </c>
    </row>
    <row r="98" spans="2:15" s="13" customFormat="1" x14ac:dyDescent="0.2">
      <c r="B98" s="619" t="s">
        <v>499</v>
      </c>
      <c r="C98" s="646">
        <f>SUMIF($C$108:$C$206,"Furniture and Related Products",$F$108:$F$206)</f>
        <v>0</v>
      </c>
      <c r="D98" s="646">
        <f>SUMIF($C$108:$C$206,"Furniture and Related Products",$E$108:$E$206)</f>
        <v>0</v>
      </c>
      <c r="E98" s="620">
        <v>98</v>
      </c>
      <c r="F98" s="620">
        <v>37</v>
      </c>
      <c r="G98" s="620">
        <v>0</v>
      </c>
      <c r="H98" s="647">
        <f t="shared" si="11"/>
        <v>0</v>
      </c>
      <c r="I98" s="669">
        <f>J98/'Emission Factors'!$D$137</f>
        <v>0</v>
      </c>
      <c r="J98" s="941">
        <f t="shared" si="10"/>
        <v>0</v>
      </c>
      <c r="K98" s="942">
        <f>$J98*'Emission Factors'!$E$12</f>
        <v>0</v>
      </c>
      <c r="L98" s="932">
        <f>J98*'Emission Factors'!$D$12</f>
        <v>0</v>
      </c>
      <c r="M98" s="943">
        <f>J98*'Emission Factors'!$F$12</f>
        <v>0</v>
      </c>
    </row>
    <row r="99" spans="2:15" s="13" customFormat="1" ht="13.5" thickBot="1" x14ac:dyDescent="0.25">
      <c r="B99" s="619" t="s">
        <v>271</v>
      </c>
      <c r="C99" s="646">
        <f>SUMIF($C$108:$C$206,"Miscellaneous",$F$108:$F$206)</f>
        <v>0</v>
      </c>
      <c r="D99" s="646">
        <f>SUMIF($C$108:$C$206,"Miscellaneous",$E$108:$E$206)</f>
        <v>0</v>
      </c>
      <c r="E99" s="620">
        <v>139.5</v>
      </c>
      <c r="F99" s="620">
        <v>57</v>
      </c>
      <c r="G99" s="620">
        <v>0</v>
      </c>
      <c r="H99" s="647">
        <f t="shared" si="11"/>
        <v>0</v>
      </c>
      <c r="I99" s="669">
        <f>J99/'Emission Factors'!$D$137</f>
        <v>0</v>
      </c>
      <c r="J99" s="944">
        <f t="shared" si="10"/>
        <v>0</v>
      </c>
      <c r="K99" s="945">
        <f>$J99*'Emission Factors'!$E$12</f>
        <v>0</v>
      </c>
      <c r="L99" s="935">
        <f>J99*'Emission Factors'!$D$12</f>
        <v>0</v>
      </c>
      <c r="M99" s="946">
        <f>J99*'Emission Factors'!$F$12</f>
        <v>0</v>
      </c>
    </row>
    <row r="100" spans="2:15" s="13" customFormat="1" ht="13.5" thickBot="1" x14ac:dyDescent="0.25">
      <c r="B100" s="204" t="s">
        <v>558</v>
      </c>
      <c r="C100" s="632"/>
      <c r="D100" s="632"/>
      <c r="E100" s="633"/>
      <c r="F100" s="632"/>
      <c r="G100" s="633"/>
      <c r="H100" s="633"/>
      <c r="I100" s="634">
        <f>SUM(I79:I99)</f>
        <v>0</v>
      </c>
      <c r="J100" s="635">
        <f>SUM(J79:J99)</f>
        <v>0</v>
      </c>
      <c r="K100" s="659">
        <f>SUM(K79:K99)</f>
        <v>0</v>
      </c>
      <c r="L100" s="110">
        <f>SUM(L79:L99)</f>
        <v>0</v>
      </c>
      <c r="M100" s="660">
        <f>SUM(M79:M99)</f>
        <v>0</v>
      </c>
    </row>
    <row r="101" spans="2:15" s="13" customFormat="1" ht="56.25" customHeight="1" x14ac:dyDescent="0.2">
      <c r="B101" s="1962" t="s">
        <v>1180</v>
      </c>
      <c r="C101" s="1963"/>
      <c r="D101" s="1963"/>
      <c r="E101" s="1963"/>
      <c r="F101" s="603" t="s">
        <v>506</v>
      </c>
    </row>
    <row r="102" spans="2:15" s="13" customFormat="1" ht="45" customHeight="1" x14ac:dyDescent="0.2">
      <c r="B102" s="2249" t="s">
        <v>550</v>
      </c>
      <c r="C102" s="2250"/>
      <c r="D102" s="2250"/>
      <c r="E102" s="2250"/>
      <c r="F102" s="605" t="s">
        <v>578</v>
      </c>
      <c r="G102" s="563"/>
    </row>
    <row r="103" spans="2:15" s="13" customFormat="1" ht="35.25" customHeight="1" x14ac:dyDescent="0.2">
      <c r="B103" s="2249" t="s">
        <v>551</v>
      </c>
      <c r="C103" s="2250"/>
      <c r="D103" s="2250"/>
      <c r="E103" s="2250"/>
      <c r="F103" s="605" t="s">
        <v>579</v>
      </c>
    </row>
    <row r="104" spans="2:15" s="13" customFormat="1" ht="37.5" customHeight="1" thickBot="1" x14ac:dyDescent="0.25">
      <c r="B104" s="2240" t="s">
        <v>552</v>
      </c>
      <c r="C104" s="2241"/>
      <c r="D104" s="2241"/>
      <c r="E104" s="2241"/>
      <c r="F104" s="606" t="s">
        <v>580</v>
      </c>
      <c r="G104" s="595"/>
      <c r="H104" s="595"/>
      <c r="I104" s="595"/>
    </row>
    <row r="105" spans="2:15" s="13" customFormat="1" ht="13.5" thickBot="1" x14ac:dyDescent="0.25">
      <c r="B105" s="595"/>
      <c r="C105" s="595"/>
      <c r="D105" s="595"/>
      <c r="F105" s="595"/>
      <c r="G105" s="595"/>
      <c r="H105" s="595"/>
      <c r="I105" s="595"/>
    </row>
    <row r="106" spans="2:15" s="13" customFormat="1" ht="21" customHeight="1" thickBot="1" x14ac:dyDescent="0.25">
      <c r="B106" s="2012" t="s">
        <v>585</v>
      </c>
      <c r="C106" s="2013"/>
      <c r="D106" s="2013"/>
      <c r="E106" s="2013"/>
      <c r="F106" s="2014"/>
      <c r="G106" s="1"/>
      <c r="H106" s="1"/>
      <c r="I106" s="1"/>
      <c r="J106" s="1"/>
      <c r="K106" s="1"/>
      <c r="L106" s="1"/>
      <c r="M106" s="1"/>
      <c r="N106" s="1"/>
      <c r="O106" s="1"/>
    </row>
    <row r="107" spans="2:15" s="13" customFormat="1" ht="73.5" customHeight="1" x14ac:dyDescent="0.2">
      <c r="B107" s="530" t="s">
        <v>1181</v>
      </c>
      <c r="C107" s="463" t="s">
        <v>553</v>
      </c>
      <c r="D107" s="463" t="s">
        <v>85</v>
      </c>
      <c r="E107" s="1652" t="s">
        <v>557</v>
      </c>
      <c r="F107" s="1687" t="s">
        <v>488</v>
      </c>
      <c r="G107" s="1"/>
      <c r="H107" s="1"/>
      <c r="I107" s="1"/>
      <c r="J107" s="1"/>
      <c r="K107" s="1"/>
      <c r="L107" s="1"/>
      <c r="M107" s="1"/>
      <c r="N107" s="1"/>
      <c r="O107" s="1"/>
    </row>
    <row r="108" spans="2:15" s="13" customFormat="1" x14ac:dyDescent="0.2">
      <c r="B108" s="651">
        <v>111</v>
      </c>
      <c r="C108" s="652" t="s">
        <v>532</v>
      </c>
      <c r="D108" s="644" t="s">
        <v>510</v>
      </c>
      <c r="E108" s="643" t="str">
        <f>IFERROR(VLOOKUP(B108,Inputs!$B$69:$C$173,2,FALSE),"N/A")</f>
        <v>N/A</v>
      </c>
      <c r="F108" s="645" t="str">
        <f>IFERROR(VLOOKUP(B108,Inputs!$B$69:$D$173,3,FALSE),"N/A")</f>
        <v>N/A</v>
      </c>
      <c r="G108" s="1"/>
      <c r="H108" s="1"/>
      <c r="I108" s="1"/>
      <c r="J108" s="1"/>
      <c r="K108" s="1"/>
      <c r="L108" s="1"/>
      <c r="M108" s="1"/>
      <c r="N108" s="1"/>
      <c r="O108" s="1"/>
    </row>
    <row r="109" spans="2:15" s="13" customFormat="1" x14ac:dyDescent="0.2">
      <c r="B109" s="651">
        <v>112</v>
      </c>
      <c r="C109" s="652" t="s">
        <v>533</v>
      </c>
      <c r="D109" s="644" t="s">
        <v>510</v>
      </c>
      <c r="E109" s="643" t="str">
        <f>IFERROR(VLOOKUP(B109,Inputs!$B$69:$C$173,2,FALSE),"N/A")</f>
        <v>N/A</v>
      </c>
      <c r="F109" s="645" t="str">
        <f>IFERROR(VLOOKUP(B109,Inputs!$B$69:$D$173,3,FALSE),"N/A")</f>
        <v>N/A</v>
      </c>
      <c r="G109" s="1"/>
      <c r="H109" s="1"/>
      <c r="I109" s="1"/>
      <c r="J109" s="1"/>
      <c r="K109" s="1"/>
      <c r="L109" s="1"/>
      <c r="M109" s="1"/>
      <c r="N109" s="1"/>
      <c r="O109" s="1"/>
    </row>
    <row r="110" spans="2:15" s="13" customFormat="1" x14ac:dyDescent="0.2">
      <c r="B110" s="651">
        <v>113</v>
      </c>
      <c r="C110" s="652" t="s">
        <v>534</v>
      </c>
      <c r="D110" s="644" t="s">
        <v>510</v>
      </c>
      <c r="E110" s="643" t="str">
        <f>IFERROR(VLOOKUP(B110,Inputs!$B$69:$C$173,2,FALSE),"N/A")</f>
        <v>N/A</v>
      </c>
      <c r="F110" s="645" t="str">
        <f>IFERROR(VLOOKUP(B110,Inputs!$B$69:$D$173,3,FALSE),"N/A")</f>
        <v>N/A</v>
      </c>
      <c r="G110" s="1"/>
      <c r="H110" s="1"/>
      <c r="I110" s="1"/>
      <c r="J110" s="1"/>
      <c r="K110" s="1"/>
      <c r="L110" s="1"/>
      <c r="M110" s="1"/>
      <c r="N110" s="1"/>
      <c r="O110" s="1"/>
    </row>
    <row r="111" spans="2:15" s="13" customFormat="1" x14ac:dyDescent="0.2">
      <c r="B111" s="651">
        <v>114</v>
      </c>
      <c r="C111" s="652" t="s">
        <v>535</v>
      </c>
      <c r="D111" s="644" t="s">
        <v>510</v>
      </c>
      <c r="E111" s="643" t="str">
        <f>IFERROR(VLOOKUP(B111,Inputs!$B$69:$C$173,2,FALSE),"N/A")</f>
        <v>N/A</v>
      </c>
      <c r="F111" s="645" t="str">
        <f>IFERROR(VLOOKUP(B111,Inputs!$B$69:$D$173,3,FALSE),"N/A")</f>
        <v>N/A</v>
      </c>
      <c r="G111" s="1"/>
      <c r="H111" s="1"/>
      <c r="I111" s="1"/>
      <c r="J111" s="1"/>
      <c r="K111" s="1"/>
      <c r="L111" s="1"/>
      <c r="M111" s="1"/>
      <c r="N111" s="1"/>
      <c r="O111" s="1"/>
    </row>
    <row r="112" spans="2:15" s="13" customFormat="1" x14ac:dyDescent="0.2">
      <c r="B112" s="651">
        <v>115</v>
      </c>
      <c r="C112" s="652" t="s">
        <v>536</v>
      </c>
      <c r="D112" s="644" t="s">
        <v>510</v>
      </c>
      <c r="E112" s="643" t="str">
        <f>IFERROR(VLOOKUP(B112,Inputs!$B$69:$C$173,2,FALSE),"N/A")</f>
        <v>N/A</v>
      </c>
      <c r="F112" s="645" t="str">
        <f>IFERROR(VLOOKUP(B112,Inputs!$B$69:$D$173,3,FALSE),"N/A")</f>
        <v>N/A</v>
      </c>
      <c r="G112" s="1"/>
      <c r="H112" s="1"/>
      <c r="I112" s="1"/>
      <c r="J112" s="1"/>
      <c r="K112" s="1"/>
      <c r="L112" s="1"/>
      <c r="M112" s="1"/>
      <c r="N112" s="1"/>
      <c r="O112" s="1"/>
    </row>
    <row r="113" spans="2:15" s="13" customFormat="1" x14ac:dyDescent="0.2">
      <c r="B113" s="651">
        <v>212</v>
      </c>
      <c r="C113" s="652" t="s">
        <v>537</v>
      </c>
      <c r="D113" s="644" t="s">
        <v>510</v>
      </c>
      <c r="E113" s="643" t="str">
        <f>IFERROR(VLOOKUP(B113,Inputs!$B$69:$C$173,2,FALSE),"N/A")</f>
        <v>N/A</v>
      </c>
      <c r="F113" s="645" t="str">
        <f>IFERROR(VLOOKUP(B113,Inputs!$B$69:$D$173,3,FALSE),"N/A")</f>
        <v>N/A</v>
      </c>
      <c r="G113" s="1"/>
      <c r="H113" s="1"/>
      <c r="I113" s="1"/>
      <c r="J113" s="1"/>
      <c r="K113" s="1"/>
      <c r="L113" s="1"/>
      <c r="M113" s="1"/>
      <c r="N113" s="1"/>
      <c r="O113" s="1"/>
    </row>
    <row r="114" spans="2:15" s="13" customFormat="1" x14ac:dyDescent="0.2">
      <c r="B114" s="651">
        <v>213</v>
      </c>
      <c r="C114" s="652" t="s">
        <v>538</v>
      </c>
      <c r="D114" s="644" t="s">
        <v>510</v>
      </c>
      <c r="E114" s="643" t="str">
        <f>IFERROR(VLOOKUP(B114,Inputs!$B$69:$C$173,2,FALSE),"N/A")</f>
        <v>N/A</v>
      </c>
      <c r="F114" s="645" t="str">
        <f>IFERROR(VLOOKUP(B114,Inputs!$B$69:$D$173,3,FALSE),"N/A")</f>
        <v>N/A</v>
      </c>
      <c r="G114" s="1"/>
      <c r="H114" s="1"/>
      <c r="I114" s="1"/>
      <c r="J114" s="1"/>
      <c r="K114" s="1"/>
      <c r="L114" s="1"/>
      <c r="M114" s="1"/>
      <c r="N114" s="1"/>
      <c r="O114" s="1"/>
    </row>
    <row r="115" spans="2:15" s="13" customFormat="1" x14ac:dyDescent="0.2">
      <c r="B115" s="651">
        <v>221</v>
      </c>
      <c r="C115" s="652" t="s">
        <v>539</v>
      </c>
      <c r="D115" s="644" t="s">
        <v>510</v>
      </c>
      <c r="E115" s="643" t="str">
        <f>IFERROR(VLOOKUP(B115,Inputs!$B$69:$C$173,2,FALSE),"N/A")</f>
        <v>N/A</v>
      </c>
      <c r="F115" s="645" t="str">
        <f>IFERROR(VLOOKUP(B115,Inputs!$B$69:$D$173,3,FALSE),"N/A")</f>
        <v>N/A</v>
      </c>
      <c r="G115" s="1"/>
      <c r="H115" s="1"/>
      <c r="I115" s="1"/>
      <c r="J115" s="1"/>
      <c r="K115" s="1"/>
      <c r="L115" s="1"/>
      <c r="M115" s="1"/>
      <c r="N115" s="1"/>
      <c r="O115" s="1"/>
    </row>
    <row r="116" spans="2:15" s="13" customFormat="1" x14ac:dyDescent="0.2">
      <c r="B116" s="651">
        <v>236</v>
      </c>
      <c r="C116" s="652" t="s">
        <v>540</v>
      </c>
      <c r="D116" s="644" t="s">
        <v>510</v>
      </c>
      <c r="E116" s="643" t="str">
        <f>IFERROR(VLOOKUP(B116,Inputs!$B$69:$C$173,2,FALSE),"N/A")</f>
        <v>N/A</v>
      </c>
      <c r="F116" s="645" t="str">
        <f>IFERROR(VLOOKUP(B116,Inputs!$B$69:$D$173,3,FALSE),"N/A")</f>
        <v>N/A</v>
      </c>
      <c r="G116" s="1"/>
      <c r="H116" s="1"/>
      <c r="I116" s="1"/>
      <c r="J116" s="1"/>
      <c r="K116" s="1"/>
      <c r="L116" s="1"/>
      <c r="M116" s="1"/>
      <c r="N116" s="1"/>
      <c r="O116" s="1"/>
    </row>
    <row r="117" spans="2:15" s="13" customFormat="1" x14ac:dyDescent="0.2">
      <c r="B117" s="651">
        <v>237</v>
      </c>
      <c r="C117" s="652" t="s">
        <v>541</v>
      </c>
      <c r="D117" s="644" t="s">
        <v>510</v>
      </c>
      <c r="E117" s="643" t="str">
        <f>IFERROR(VLOOKUP(B117,Inputs!$B$69:$C$173,2,FALSE),"N/A")</f>
        <v>N/A</v>
      </c>
      <c r="F117" s="645" t="str">
        <f>IFERROR(VLOOKUP(B117,Inputs!$B$69:$D$173,3,FALSE),"N/A")</f>
        <v>N/A</v>
      </c>
      <c r="G117" s="1"/>
      <c r="H117" s="1"/>
      <c r="I117" s="1"/>
      <c r="J117" s="1"/>
      <c r="K117" s="1"/>
      <c r="L117" s="1"/>
      <c r="M117" s="1"/>
      <c r="N117" s="1"/>
      <c r="O117" s="1"/>
    </row>
    <row r="118" spans="2:15" s="13" customFormat="1" x14ac:dyDescent="0.2">
      <c r="B118" s="651">
        <v>238</v>
      </c>
      <c r="C118" s="652" t="s">
        <v>542</v>
      </c>
      <c r="D118" s="644" t="s">
        <v>510</v>
      </c>
      <c r="E118" s="643" t="str">
        <f>IFERROR(VLOOKUP(B118,Inputs!$B$69:$C$173,2,FALSE),"N/A")</f>
        <v>N/A</v>
      </c>
      <c r="F118" s="645" t="str">
        <f>IFERROR(VLOOKUP(B118,Inputs!$B$69:$D$173,3,FALSE),"N/A")</f>
        <v>N/A</v>
      </c>
      <c r="G118" s="1"/>
      <c r="H118" s="1"/>
      <c r="I118" s="1"/>
      <c r="J118" s="1"/>
      <c r="K118" s="1"/>
      <c r="L118" s="1"/>
      <c r="M118" s="1"/>
      <c r="N118" s="1"/>
      <c r="O118" s="1"/>
    </row>
    <row r="119" spans="2:15" s="13" customFormat="1" x14ac:dyDescent="0.2">
      <c r="B119" s="651">
        <v>311</v>
      </c>
      <c r="C119" s="653" t="s">
        <v>267</v>
      </c>
      <c r="D119" s="644" t="s">
        <v>16</v>
      </c>
      <c r="E119" s="643" t="str">
        <f>IFERROR(VLOOKUP(B119,Inputs!$B$69:$C$173,2,FALSE),"N/A")</f>
        <v>N/A</v>
      </c>
      <c r="F119" s="645" t="str">
        <f>IFERROR(VLOOKUP(B119,Inputs!$B$69:$D$173,3,FALSE),"N/A")</f>
        <v>N/A</v>
      </c>
      <c r="G119" s="1"/>
      <c r="H119" s="1"/>
      <c r="I119" s="1"/>
      <c r="J119" s="1"/>
      <c r="K119" s="1"/>
      <c r="L119" s="1"/>
      <c r="M119" s="1"/>
      <c r="N119" s="1"/>
      <c r="O119" s="1"/>
    </row>
    <row r="120" spans="2:15" s="13" customFormat="1" x14ac:dyDescent="0.2">
      <c r="B120" s="651">
        <v>312</v>
      </c>
      <c r="C120" s="653" t="s">
        <v>511</v>
      </c>
      <c r="D120" s="644" t="s">
        <v>16</v>
      </c>
      <c r="E120" s="643" t="str">
        <f>IFERROR(VLOOKUP(B120,Inputs!$B$69:$C$173,2,FALSE),"N/A")</f>
        <v>N/A</v>
      </c>
      <c r="F120" s="645" t="str">
        <f>IFERROR(VLOOKUP(B120,Inputs!$B$69:$D$173,3,FALSE),"N/A")</f>
        <v>N/A</v>
      </c>
      <c r="G120" s="1"/>
      <c r="H120" s="1"/>
      <c r="I120" s="1"/>
      <c r="J120" s="1"/>
      <c r="K120" s="1"/>
      <c r="L120" s="1"/>
      <c r="M120" s="1"/>
      <c r="N120" s="1"/>
      <c r="O120" s="1"/>
    </row>
    <row r="121" spans="2:15" s="13" customFormat="1" x14ac:dyDescent="0.2">
      <c r="B121" s="651">
        <v>313</v>
      </c>
      <c r="C121" s="653" t="s">
        <v>512</v>
      </c>
      <c r="D121" s="644" t="s">
        <v>16</v>
      </c>
      <c r="E121" s="643" t="str">
        <f>IFERROR(VLOOKUP(B121,Inputs!$B$69:$C$173,2,FALSE),"N/A")</f>
        <v>N/A</v>
      </c>
      <c r="F121" s="645" t="str">
        <f>IFERROR(VLOOKUP(B121,Inputs!$B$69:$D$173,3,FALSE),"N/A")</f>
        <v>N/A</v>
      </c>
      <c r="G121" s="1"/>
      <c r="H121" s="1"/>
      <c r="I121" s="1"/>
      <c r="J121" s="1"/>
      <c r="K121" s="1"/>
      <c r="L121" s="1"/>
      <c r="M121" s="1"/>
      <c r="N121" s="1"/>
      <c r="O121" s="1"/>
    </row>
    <row r="122" spans="2:15" s="13" customFormat="1" x14ac:dyDescent="0.2">
      <c r="B122" s="651">
        <v>314</v>
      </c>
      <c r="C122" s="653" t="s">
        <v>513</v>
      </c>
      <c r="D122" s="644" t="s">
        <v>16</v>
      </c>
      <c r="E122" s="643" t="str">
        <f>IFERROR(VLOOKUP(B122,Inputs!$B$69:$C$173,2,FALSE),"N/A")</f>
        <v>N/A</v>
      </c>
      <c r="F122" s="645" t="str">
        <f>IFERROR(VLOOKUP(B122,Inputs!$B$69:$D$173,3,FALSE),"N/A")</f>
        <v>N/A</v>
      </c>
      <c r="G122" s="1"/>
      <c r="H122" s="1"/>
      <c r="I122" s="1"/>
      <c r="J122" s="1"/>
      <c r="K122" s="1"/>
      <c r="L122" s="1"/>
      <c r="M122" s="1"/>
      <c r="N122" s="1"/>
      <c r="O122" s="1"/>
    </row>
    <row r="123" spans="2:15" s="13" customFormat="1" x14ac:dyDescent="0.2">
      <c r="B123" s="651">
        <v>315</v>
      </c>
      <c r="C123" s="653" t="s">
        <v>514</v>
      </c>
      <c r="D123" s="644" t="s">
        <v>16</v>
      </c>
      <c r="E123" s="643" t="str">
        <f>IFERROR(VLOOKUP(B123,Inputs!$B$69:$C$173,2,FALSE),"N/A")</f>
        <v>N/A</v>
      </c>
      <c r="F123" s="645" t="str">
        <f>IFERROR(VLOOKUP(B123,Inputs!$B$69:$D$173,3,FALSE),"N/A")</f>
        <v>N/A</v>
      </c>
      <c r="G123" s="1"/>
      <c r="H123" s="1"/>
      <c r="I123" s="1"/>
      <c r="J123" s="1"/>
      <c r="K123" s="1"/>
      <c r="L123" s="1"/>
      <c r="M123" s="1"/>
      <c r="N123" s="1"/>
      <c r="O123" s="1"/>
    </row>
    <row r="124" spans="2:15" s="13" customFormat="1" x14ac:dyDescent="0.2">
      <c r="B124" s="651">
        <v>316</v>
      </c>
      <c r="C124" s="653" t="s">
        <v>515</v>
      </c>
      <c r="D124" s="644" t="s">
        <v>16</v>
      </c>
      <c r="E124" s="643" t="str">
        <f>IFERROR(VLOOKUP(B124,Inputs!$B$69:$C$173,2,FALSE),"N/A")</f>
        <v>N/A</v>
      </c>
      <c r="F124" s="645" t="str">
        <f>IFERROR(VLOOKUP(B124,Inputs!$B$69:$D$173,3,FALSE),"N/A")</f>
        <v>N/A</v>
      </c>
      <c r="G124" s="1"/>
      <c r="H124" s="1"/>
      <c r="I124" s="1"/>
      <c r="J124" s="1"/>
      <c r="K124" s="1"/>
      <c r="L124" s="1"/>
      <c r="M124" s="1"/>
      <c r="N124" s="1"/>
      <c r="O124" s="1"/>
    </row>
    <row r="125" spans="2:15" s="13" customFormat="1" x14ac:dyDescent="0.2">
      <c r="B125" s="651">
        <v>321</v>
      </c>
      <c r="C125" s="653" t="s">
        <v>516</v>
      </c>
      <c r="D125" s="644" t="s">
        <v>16</v>
      </c>
      <c r="E125" s="643" t="str">
        <f>IFERROR(VLOOKUP(B125,Inputs!$B$69:$C$173,2,FALSE),"N/A")</f>
        <v>N/A</v>
      </c>
      <c r="F125" s="645" t="str">
        <f>IFERROR(VLOOKUP(B125,Inputs!$B$69:$D$173,3,FALSE),"N/A")</f>
        <v>N/A</v>
      </c>
      <c r="G125" s="1"/>
      <c r="H125" s="1"/>
      <c r="I125" s="1"/>
      <c r="J125" s="1"/>
      <c r="K125" s="1"/>
      <c r="L125" s="1"/>
      <c r="M125" s="1"/>
      <c r="N125" s="1"/>
      <c r="O125" s="1"/>
    </row>
    <row r="126" spans="2:15" s="13" customFormat="1" x14ac:dyDescent="0.2">
      <c r="B126" s="651">
        <v>322</v>
      </c>
      <c r="C126" s="653" t="s">
        <v>23</v>
      </c>
      <c r="D126" s="644" t="s">
        <v>16</v>
      </c>
      <c r="E126" s="643" t="str">
        <f>IFERROR(VLOOKUP(B126,Inputs!$B$69:$C$173,2,FALSE),"N/A")</f>
        <v>N/A</v>
      </c>
      <c r="F126" s="645" t="str">
        <f>IFERROR(VLOOKUP(B126,Inputs!$B$69:$D$173,3,FALSE),"N/A")</f>
        <v>N/A</v>
      </c>
      <c r="G126" s="1"/>
      <c r="H126" s="1"/>
      <c r="I126" s="1"/>
      <c r="J126" s="1"/>
      <c r="K126" s="1"/>
      <c r="L126" s="1"/>
      <c r="M126" s="1"/>
      <c r="N126" s="1"/>
      <c r="O126" s="1"/>
    </row>
    <row r="127" spans="2:15" s="13" customFormat="1" x14ac:dyDescent="0.2">
      <c r="B127" s="651">
        <v>323</v>
      </c>
      <c r="C127" s="653" t="s">
        <v>268</v>
      </c>
      <c r="D127" s="644" t="s">
        <v>16</v>
      </c>
      <c r="E127" s="643" t="str">
        <f>IFERROR(VLOOKUP(B127,Inputs!$B$69:$C$173,2,FALSE),"N/A")</f>
        <v>N/A</v>
      </c>
      <c r="F127" s="645" t="str">
        <f>IFERROR(VLOOKUP(B127,Inputs!$B$69:$D$173,3,FALSE),"N/A")</f>
        <v>N/A</v>
      </c>
      <c r="G127" s="1"/>
      <c r="H127" s="1"/>
      <c r="I127" s="1"/>
      <c r="J127" s="1"/>
      <c r="K127" s="1"/>
      <c r="L127" s="1"/>
      <c r="M127" s="1"/>
      <c r="N127" s="1"/>
      <c r="O127" s="1"/>
    </row>
    <row r="128" spans="2:15" s="13" customFormat="1" x14ac:dyDescent="0.2">
      <c r="B128" s="651">
        <v>324</v>
      </c>
      <c r="C128" s="653" t="s">
        <v>517</v>
      </c>
      <c r="D128" s="644" t="s">
        <v>16</v>
      </c>
      <c r="E128" s="643" t="str">
        <f>IFERROR(VLOOKUP(B128,Inputs!$B$69:$C$173,2,FALSE),"N/A")</f>
        <v>N/A</v>
      </c>
      <c r="F128" s="645" t="str">
        <f>IFERROR(VLOOKUP(B128,Inputs!$B$69:$D$173,3,FALSE),"N/A")</f>
        <v>N/A</v>
      </c>
      <c r="G128" s="1"/>
      <c r="H128" s="1"/>
      <c r="I128" s="1"/>
      <c r="J128" s="1"/>
      <c r="K128" s="1"/>
      <c r="L128" s="1"/>
      <c r="M128" s="1"/>
      <c r="N128" s="1"/>
      <c r="O128" s="1"/>
    </row>
    <row r="129" spans="2:15" s="13" customFormat="1" x14ac:dyDescent="0.2">
      <c r="B129" s="651">
        <v>325</v>
      </c>
      <c r="C129" s="653" t="s">
        <v>269</v>
      </c>
      <c r="D129" s="644" t="s">
        <v>16</v>
      </c>
      <c r="E129" s="643" t="str">
        <f>IFERROR(VLOOKUP(B129,Inputs!$B$69:$C$173,2,FALSE),"N/A")</f>
        <v>N/A</v>
      </c>
      <c r="F129" s="645" t="str">
        <f>IFERROR(VLOOKUP(B129,Inputs!$B$69:$D$173,3,FALSE),"N/A")</f>
        <v>N/A</v>
      </c>
      <c r="G129" s="1"/>
      <c r="H129" s="1"/>
      <c r="I129" s="1"/>
      <c r="J129" s="1"/>
      <c r="K129" s="1"/>
      <c r="L129" s="1"/>
      <c r="M129" s="1"/>
      <c r="N129" s="1"/>
      <c r="O129" s="1"/>
    </row>
    <row r="130" spans="2:15" s="13" customFormat="1" x14ac:dyDescent="0.2">
      <c r="B130" s="651">
        <v>326</v>
      </c>
      <c r="C130" s="653" t="s">
        <v>518</v>
      </c>
      <c r="D130" s="644" t="s">
        <v>16</v>
      </c>
      <c r="E130" s="643" t="str">
        <f>IFERROR(VLOOKUP(B130,Inputs!$B$69:$C$173,2,FALSE),"N/A")</f>
        <v>N/A</v>
      </c>
      <c r="F130" s="645" t="str">
        <f>IFERROR(VLOOKUP(B130,Inputs!$B$69:$D$173,3,FALSE),"N/A")</f>
        <v>N/A</v>
      </c>
      <c r="G130" s="1"/>
      <c r="H130" s="1"/>
      <c r="I130" s="1"/>
      <c r="J130" s="1"/>
      <c r="K130" s="1"/>
      <c r="L130" s="1"/>
      <c r="M130" s="1"/>
      <c r="N130" s="1"/>
      <c r="O130" s="1"/>
    </row>
    <row r="131" spans="2:15" s="13" customFormat="1" x14ac:dyDescent="0.2">
      <c r="B131" s="651">
        <v>327</v>
      </c>
      <c r="C131" s="653" t="s">
        <v>519</v>
      </c>
      <c r="D131" s="644" t="s">
        <v>16</v>
      </c>
      <c r="E131" s="643" t="str">
        <f>IFERROR(VLOOKUP(B131,Inputs!$B$69:$C$173,2,FALSE),"N/A")</f>
        <v>N/A</v>
      </c>
      <c r="F131" s="645" t="str">
        <f>IFERROR(VLOOKUP(B131,Inputs!$B$69:$D$173,3,FALSE),"N/A")</f>
        <v>N/A</v>
      </c>
      <c r="G131" s="1"/>
      <c r="H131" s="1"/>
      <c r="I131" s="1"/>
      <c r="J131" s="1"/>
      <c r="K131" s="1"/>
      <c r="L131" s="1"/>
      <c r="M131" s="1"/>
      <c r="N131" s="1"/>
      <c r="O131" s="1"/>
    </row>
    <row r="132" spans="2:15" s="13" customFormat="1" x14ac:dyDescent="0.2">
      <c r="B132" s="651">
        <v>331</v>
      </c>
      <c r="C132" s="653" t="s">
        <v>520</v>
      </c>
      <c r="D132" s="644" t="s">
        <v>16</v>
      </c>
      <c r="E132" s="643" t="str">
        <f>IFERROR(VLOOKUP(B132,Inputs!$B$69:$C$173,2,FALSE),"N/A")</f>
        <v>N/A</v>
      </c>
      <c r="F132" s="645" t="str">
        <f>IFERROR(VLOOKUP(B132,Inputs!$B$69:$D$173,3,FALSE),"N/A")</f>
        <v>N/A</v>
      </c>
      <c r="G132" s="1"/>
      <c r="H132" s="1"/>
      <c r="I132" s="1"/>
      <c r="J132" s="1"/>
      <c r="K132" s="1"/>
      <c r="L132" s="1"/>
      <c r="M132" s="1"/>
      <c r="N132" s="1"/>
      <c r="O132" s="1"/>
    </row>
    <row r="133" spans="2:15" s="13" customFormat="1" x14ac:dyDescent="0.2">
      <c r="B133" s="651">
        <v>332</v>
      </c>
      <c r="C133" s="653" t="s">
        <v>521</v>
      </c>
      <c r="D133" s="644" t="s">
        <v>16</v>
      </c>
      <c r="E133" s="643" t="str">
        <f>IFERROR(VLOOKUP(B133,Inputs!$B$69:$C$173,2,FALSE),"N/A")</f>
        <v>N/A</v>
      </c>
      <c r="F133" s="645" t="str">
        <f>IFERROR(VLOOKUP(B133,Inputs!$B$69:$D$173,3,FALSE),"N/A")</f>
        <v>N/A</v>
      </c>
      <c r="G133" s="1"/>
      <c r="H133" s="1"/>
      <c r="I133" s="1"/>
      <c r="J133" s="1"/>
      <c r="K133" s="1"/>
      <c r="L133" s="1"/>
      <c r="M133" s="1"/>
      <c r="N133" s="1"/>
      <c r="O133" s="1"/>
    </row>
    <row r="134" spans="2:15" s="13" customFormat="1" x14ac:dyDescent="0.2">
      <c r="B134" s="651">
        <v>333</v>
      </c>
      <c r="C134" s="653" t="s">
        <v>522</v>
      </c>
      <c r="D134" s="644" t="s">
        <v>16</v>
      </c>
      <c r="E134" s="643" t="str">
        <f>IFERROR(VLOOKUP(B134,Inputs!$B$69:$C$173,2,FALSE),"N/A")</f>
        <v>N/A</v>
      </c>
      <c r="F134" s="645" t="str">
        <f>IFERROR(VLOOKUP(B134,Inputs!$B$69:$D$173,3,FALSE),"N/A")</f>
        <v>N/A</v>
      </c>
      <c r="G134" s="1"/>
      <c r="H134" s="1"/>
      <c r="I134" s="1"/>
      <c r="J134" s="1"/>
      <c r="K134" s="1"/>
      <c r="L134" s="1"/>
      <c r="M134" s="1"/>
      <c r="N134" s="1"/>
      <c r="O134" s="1"/>
    </row>
    <row r="135" spans="2:15" s="13" customFormat="1" x14ac:dyDescent="0.2">
      <c r="B135" s="651">
        <v>334</v>
      </c>
      <c r="C135" s="653" t="s">
        <v>270</v>
      </c>
      <c r="D135" s="644" t="s">
        <v>16</v>
      </c>
      <c r="E135" s="643" t="str">
        <f>IFERROR(VLOOKUP(B135,Inputs!$B$69:$C$173,2,FALSE),"N/A")</f>
        <v>N/A</v>
      </c>
      <c r="F135" s="645" t="str">
        <f>IFERROR(VLOOKUP(B135,Inputs!$B$69:$D$173,3,FALSE),"N/A")</f>
        <v>N/A</v>
      </c>
      <c r="G135" s="1"/>
      <c r="H135" s="1"/>
      <c r="I135" s="1"/>
      <c r="J135" s="1"/>
      <c r="K135" s="1"/>
      <c r="L135" s="1"/>
      <c r="M135" s="1"/>
      <c r="N135" s="1"/>
      <c r="O135" s="1"/>
    </row>
    <row r="136" spans="2:15" s="13" customFormat="1" x14ac:dyDescent="0.2">
      <c r="B136" s="651">
        <v>335</v>
      </c>
      <c r="C136" s="653" t="s">
        <v>523</v>
      </c>
      <c r="D136" s="644" t="s">
        <v>16</v>
      </c>
      <c r="E136" s="643" t="str">
        <f>IFERROR(VLOOKUP(B136,Inputs!$B$69:$C$173,2,FALSE),"N/A")</f>
        <v>N/A</v>
      </c>
      <c r="F136" s="645" t="str">
        <f>IFERROR(VLOOKUP(B136,Inputs!$B$69:$D$173,3,FALSE),"N/A")</f>
        <v>N/A</v>
      </c>
      <c r="G136" s="1"/>
      <c r="H136" s="1"/>
      <c r="I136" s="1"/>
      <c r="J136" s="1"/>
      <c r="K136" s="1"/>
      <c r="L136" s="1"/>
      <c r="M136" s="1"/>
      <c r="N136" s="1"/>
      <c r="O136" s="1"/>
    </row>
    <row r="137" spans="2:15" s="13" customFormat="1" x14ac:dyDescent="0.2">
      <c r="B137" s="651">
        <v>336</v>
      </c>
      <c r="C137" s="653" t="s">
        <v>524</v>
      </c>
      <c r="D137" s="644" t="s">
        <v>16</v>
      </c>
      <c r="E137" s="643" t="str">
        <f>IFERROR(VLOOKUP(B137,Inputs!$B$69:$C$173,2,FALSE),"N/A")</f>
        <v>N/A</v>
      </c>
      <c r="F137" s="645" t="str">
        <f>IFERROR(VLOOKUP(B137,Inputs!$B$69:$D$173,3,FALSE),"N/A")</f>
        <v>N/A</v>
      </c>
      <c r="G137" s="1"/>
      <c r="H137" s="1"/>
      <c r="I137" s="1"/>
      <c r="J137" s="1"/>
      <c r="K137" s="1"/>
      <c r="L137" s="1"/>
      <c r="M137" s="1"/>
      <c r="N137" s="1"/>
      <c r="O137" s="1"/>
    </row>
    <row r="138" spans="2:15" s="13" customFormat="1" x14ac:dyDescent="0.2">
      <c r="B138" s="651">
        <v>337</v>
      </c>
      <c r="C138" s="653" t="s">
        <v>499</v>
      </c>
      <c r="D138" s="644" t="s">
        <v>16</v>
      </c>
      <c r="E138" s="643" t="str">
        <f>IFERROR(VLOOKUP(B138,Inputs!$B$69:$C$173,2,FALSE),"N/A")</f>
        <v>N/A</v>
      </c>
      <c r="F138" s="645" t="str">
        <f>IFERROR(VLOOKUP(B138,Inputs!$B$69:$D$173,3,FALSE),"N/A")</f>
        <v>N/A</v>
      </c>
      <c r="G138" s="1"/>
      <c r="H138" s="1"/>
      <c r="I138" s="1"/>
      <c r="J138" s="1"/>
      <c r="K138" s="1"/>
      <c r="L138" s="1"/>
      <c r="M138" s="1"/>
      <c r="N138" s="1"/>
      <c r="O138" s="1"/>
    </row>
    <row r="139" spans="2:15" s="13" customFormat="1" x14ac:dyDescent="0.2">
      <c r="B139" s="651">
        <v>339</v>
      </c>
      <c r="C139" s="653" t="s">
        <v>271</v>
      </c>
      <c r="D139" s="644" t="s">
        <v>16</v>
      </c>
      <c r="E139" s="643" t="str">
        <f>IFERROR(VLOOKUP(B139,Inputs!$B$69:$C$173,2,FALSE),"N/A")</f>
        <v>N/A</v>
      </c>
      <c r="F139" s="645" t="str">
        <f>IFERROR(VLOOKUP(B139,Inputs!$B$69:$D$173,3,FALSE),"N/A")</f>
        <v>N/A</v>
      </c>
      <c r="G139" s="1"/>
      <c r="H139" s="1"/>
      <c r="I139" s="1"/>
      <c r="J139" s="1"/>
      <c r="K139" s="1"/>
      <c r="L139" s="1"/>
      <c r="M139" s="1"/>
      <c r="N139" s="1"/>
      <c r="O139" s="1"/>
    </row>
    <row r="140" spans="2:15" s="13" customFormat="1" x14ac:dyDescent="0.2">
      <c r="B140" s="651">
        <v>423</v>
      </c>
      <c r="C140" s="652" t="s">
        <v>509</v>
      </c>
      <c r="D140" s="644" t="s">
        <v>15</v>
      </c>
      <c r="E140" s="643" t="str">
        <f>IFERROR(VLOOKUP(B140,Inputs!$B$69:$C$173,2,FALSE),"N/A")</f>
        <v>N/A</v>
      </c>
      <c r="F140" s="645" t="str">
        <f>IFERROR(VLOOKUP(B140,Inputs!$B$69:$D$173,3,FALSE),"N/A")</f>
        <v>N/A</v>
      </c>
      <c r="G140" s="1"/>
      <c r="H140" s="1"/>
      <c r="I140" s="1"/>
      <c r="J140" s="1"/>
      <c r="K140" s="1"/>
      <c r="L140" s="1"/>
      <c r="M140" s="1"/>
      <c r="N140" s="1"/>
      <c r="O140" s="1"/>
    </row>
    <row r="141" spans="2:15" s="13" customFormat="1" x14ac:dyDescent="0.2">
      <c r="B141" s="651">
        <v>424</v>
      </c>
      <c r="C141" s="652" t="s">
        <v>509</v>
      </c>
      <c r="D141" s="644" t="s">
        <v>15</v>
      </c>
      <c r="E141" s="643" t="str">
        <f>IFERROR(VLOOKUP(B141,Inputs!$B$69:$C$173,2,FALSE),"N/A")</f>
        <v>N/A</v>
      </c>
      <c r="F141" s="645" t="str">
        <f>IFERROR(VLOOKUP(B141,Inputs!$B$69:$D$173,3,FALSE),"N/A")</f>
        <v>N/A</v>
      </c>
      <c r="G141" s="1"/>
      <c r="H141" s="1"/>
      <c r="I141" s="1"/>
      <c r="J141" s="1"/>
      <c r="K141" s="1"/>
      <c r="L141" s="1"/>
      <c r="M141" s="1"/>
      <c r="N141" s="1"/>
      <c r="O141" s="1"/>
    </row>
    <row r="142" spans="2:15" s="13" customFormat="1" x14ac:dyDescent="0.2">
      <c r="B142" s="651">
        <v>425</v>
      </c>
      <c r="C142" s="652" t="s">
        <v>543</v>
      </c>
      <c r="D142" s="644" t="s">
        <v>510</v>
      </c>
      <c r="E142" s="643" t="str">
        <f>IFERROR(VLOOKUP(B142,Inputs!$B$69:$C$173,2,FALSE),"N/A")</f>
        <v>N/A</v>
      </c>
      <c r="F142" s="645" t="str">
        <f>IFERROR(VLOOKUP(B142,Inputs!$B$69:$D$173,3,FALSE),"N/A")</f>
        <v>N/A</v>
      </c>
      <c r="G142" s="1"/>
      <c r="H142" s="1"/>
      <c r="I142" s="1"/>
      <c r="J142" s="1"/>
      <c r="K142" s="1"/>
      <c r="L142" s="1"/>
      <c r="M142" s="1"/>
      <c r="N142" s="1"/>
      <c r="O142" s="1"/>
    </row>
    <row r="143" spans="2:15" s="13" customFormat="1" x14ac:dyDescent="0.2">
      <c r="B143" s="651">
        <v>441</v>
      </c>
      <c r="C143" s="652" t="s">
        <v>489</v>
      </c>
      <c r="D143" s="644" t="s">
        <v>15</v>
      </c>
      <c r="E143" s="643" t="str">
        <f>IFERROR(VLOOKUP(B143,Inputs!$B$69:$C$173,2,FALSE),"N/A")</f>
        <v>N/A</v>
      </c>
      <c r="F143" s="645" t="str">
        <f>IFERROR(VLOOKUP(B143,Inputs!$B$69:$D$173,3,FALSE),"N/A")</f>
        <v>N/A</v>
      </c>
      <c r="G143" s="1"/>
      <c r="H143" s="1"/>
      <c r="I143" s="1"/>
      <c r="J143" s="1"/>
      <c r="K143" s="1"/>
      <c r="L143" s="1"/>
      <c r="M143" s="1"/>
      <c r="N143" s="1"/>
      <c r="O143" s="1"/>
    </row>
    <row r="144" spans="2:15" s="13" customFormat="1" x14ac:dyDescent="0.2">
      <c r="B144" s="651">
        <v>442</v>
      </c>
      <c r="C144" s="652" t="s">
        <v>489</v>
      </c>
      <c r="D144" s="644" t="s">
        <v>15</v>
      </c>
      <c r="E144" s="643" t="str">
        <f>IFERROR(VLOOKUP(B144,Inputs!$B$69:$C$173,2,FALSE),"N/A")</f>
        <v>N/A</v>
      </c>
      <c r="F144" s="645" t="str">
        <f>IFERROR(VLOOKUP(B144,Inputs!$B$69:$D$173,3,FALSE),"N/A")</f>
        <v>N/A</v>
      </c>
      <c r="G144" s="1"/>
      <c r="H144" s="1"/>
      <c r="I144" s="1"/>
      <c r="J144" s="1"/>
      <c r="K144" s="1"/>
      <c r="L144" s="1"/>
      <c r="M144" s="1"/>
      <c r="N144" s="1"/>
      <c r="O144" s="1"/>
    </row>
    <row r="145" spans="2:15" s="13" customFormat="1" x14ac:dyDescent="0.2">
      <c r="B145" s="651">
        <v>443</v>
      </c>
      <c r="C145" s="652" t="s">
        <v>489</v>
      </c>
      <c r="D145" s="644" t="s">
        <v>15</v>
      </c>
      <c r="E145" s="643" t="str">
        <f>IFERROR(VLOOKUP(B145,Inputs!$B$69:$C$173,2,FALSE),"N/A")</f>
        <v>N/A</v>
      </c>
      <c r="F145" s="645" t="str">
        <f>IFERROR(VLOOKUP(B145,Inputs!$B$69:$D$173,3,FALSE),"N/A")</f>
        <v>N/A</v>
      </c>
      <c r="G145" s="1"/>
      <c r="H145" s="1"/>
      <c r="I145" s="1"/>
      <c r="J145" s="1"/>
      <c r="K145" s="1"/>
      <c r="L145" s="1"/>
      <c r="M145" s="1"/>
      <c r="N145" s="1"/>
      <c r="O145" s="1"/>
    </row>
    <row r="146" spans="2:15" s="13" customFormat="1" x14ac:dyDescent="0.2">
      <c r="B146" s="651">
        <v>444</v>
      </c>
      <c r="C146" s="652" t="s">
        <v>489</v>
      </c>
      <c r="D146" s="644" t="s">
        <v>15</v>
      </c>
      <c r="E146" s="643" t="str">
        <f>IFERROR(VLOOKUP(B146,Inputs!$B$69:$C$173,2,FALSE),"N/A")</f>
        <v>N/A</v>
      </c>
      <c r="F146" s="645" t="str">
        <f>IFERROR(VLOOKUP(B146,Inputs!$B$69:$D$173,3,FALSE),"N/A")</f>
        <v>N/A</v>
      </c>
      <c r="G146" s="1"/>
      <c r="H146" s="1"/>
      <c r="I146" s="1"/>
      <c r="J146" s="1"/>
      <c r="K146" s="1"/>
      <c r="L146" s="1"/>
      <c r="M146" s="1"/>
      <c r="N146" s="1"/>
      <c r="O146" s="1"/>
    </row>
    <row r="147" spans="2:15" s="13" customFormat="1" x14ac:dyDescent="0.2">
      <c r="B147" s="651">
        <v>445</v>
      </c>
      <c r="C147" s="652" t="s">
        <v>490</v>
      </c>
      <c r="D147" s="644" t="s">
        <v>15</v>
      </c>
      <c r="E147" s="643" t="str">
        <f>IFERROR(VLOOKUP(B147,Inputs!$B$69:$C$173,2,FALSE),"N/A")</f>
        <v>N/A</v>
      </c>
      <c r="F147" s="645" t="str">
        <f>IFERROR(VLOOKUP(B147,Inputs!$B$69:$D$173,3,FALSE),"N/A")</f>
        <v>N/A</v>
      </c>
      <c r="G147" s="1"/>
      <c r="H147" s="1"/>
      <c r="I147" s="1"/>
      <c r="J147" s="1"/>
      <c r="K147" s="1"/>
      <c r="L147" s="1"/>
      <c r="M147" s="1"/>
      <c r="N147" s="1"/>
      <c r="O147" s="1"/>
    </row>
    <row r="148" spans="2:15" s="13" customFormat="1" x14ac:dyDescent="0.2">
      <c r="B148" s="651">
        <v>446</v>
      </c>
      <c r="C148" s="653" t="s">
        <v>491</v>
      </c>
      <c r="D148" s="644" t="s">
        <v>15</v>
      </c>
      <c r="E148" s="643" t="str">
        <f>IFERROR(VLOOKUP(B148,Inputs!$B$69:$C$173,2,FALSE),"N/A")</f>
        <v>N/A</v>
      </c>
      <c r="F148" s="645" t="str">
        <f>IFERROR(VLOOKUP(B148,Inputs!$B$69:$D$173,3,FALSE),"N/A")</f>
        <v>N/A</v>
      </c>
      <c r="G148" s="1"/>
      <c r="H148" s="1"/>
      <c r="I148" s="1"/>
      <c r="J148" s="1"/>
      <c r="K148" s="1"/>
      <c r="L148" s="1"/>
      <c r="M148" s="1"/>
      <c r="N148" s="1"/>
      <c r="O148" s="1"/>
    </row>
    <row r="149" spans="2:15" s="13" customFormat="1" x14ac:dyDescent="0.2">
      <c r="B149" s="651">
        <v>447</v>
      </c>
      <c r="C149" s="652" t="s">
        <v>492</v>
      </c>
      <c r="D149" s="644" t="s">
        <v>15</v>
      </c>
      <c r="E149" s="643" t="str">
        <f>IFERROR(VLOOKUP(B149,Inputs!$B$69:$C$173,2,FALSE),"N/A")</f>
        <v>N/A</v>
      </c>
      <c r="F149" s="645" t="str">
        <f>IFERROR(VLOOKUP(B149,Inputs!$B$69:$D$173,3,FALSE),"N/A")</f>
        <v>N/A</v>
      </c>
      <c r="G149" s="1"/>
      <c r="H149" s="1"/>
      <c r="I149" s="1"/>
      <c r="J149" s="1"/>
      <c r="K149" s="1"/>
      <c r="L149" s="1"/>
      <c r="M149" s="1"/>
      <c r="N149" s="1"/>
      <c r="O149" s="1"/>
    </row>
    <row r="150" spans="2:15" s="13" customFormat="1" x14ac:dyDescent="0.2">
      <c r="B150" s="651">
        <v>448</v>
      </c>
      <c r="C150" s="652" t="s">
        <v>491</v>
      </c>
      <c r="D150" s="644" t="s">
        <v>15</v>
      </c>
      <c r="E150" s="643" t="str">
        <f>IFERROR(VLOOKUP(B150,Inputs!$B$69:$C$173,2,FALSE),"N/A")</f>
        <v>N/A</v>
      </c>
      <c r="F150" s="645" t="str">
        <f>IFERROR(VLOOKUP(B150,Inputs!$B$69:$D$173,3,FALSE),"N/A")</f>
        <v>N/A</v>
      </c>
      <c r="G150" s="1"/>
      <c r="H150" s="1"/>
      <c r="I150" s="1"/>
      <c r="J150" s="1"/>
      <c r="K150" s="1"/>
      <c r="L150" s="1"/>
      <c r="M150" s="1"/>
      <c r="N150" s="1"/>
      <c r="O150" s="1"/>
    </row>
    <row r="151" spans="2:15" s="13" customFormat="1" x14ac:dyDescent="0.2">
      <c r="B151" s="651">
        <v>451</v>
      </c>
      <c r="C151" s="652" t="s">
        <v>489</v>
      </c>
      <c r="D151" s="644" t="s">
        <v>15</v>
      </c>
      <c r="E151" s="643" t="str">
        <f>IFERROR(VLOOKUP(B151,Inputs!$B$69:$C$173,2,FALSE),"N/A")</f>
        <v>N/A</v>
      </c>
      <c r="F151" s="645" t="str">
        <f>IFERROR(VLOOKUP(B151,Inputs!$B$69:$D$173,3,FALSE),"N/A")</f>
        <v>N/A</v>
      </c>
      <c r="G151" s="1"/>
      <c r="H151" s="1"/>
      <c r="I151" s="1"/>
      <c r="J151" s="1"/>
      <c r="K151" s="1"/>
      <c r="L151" s="1"/>
      <c r="M151" s="1"/>
      <c r="N151" s="1"/>
      <c r="O151" s="1"/>
    </row>
    <row r="152" spans="2:15" s="13" customFormat="1" x14ac:dyDescent="0.2">
      <c r="B152" s="651">
        <v>452</v>
      </c>
      <c r="C152" s="652" t="s">
        <v>489</v>
      </c>
      <c r="D152" s="644" t="s">
        <v>15</v>
      </c>
      <c r="E152" s="643" t="str">
        <f>IFERROR(VLOOKUP(B152,Inputs!$B$69:$C$173,2,FALSE),"N/A")</f>
        <v>N/A</v>
      </c>
      <c r="F152" s="645" t="str">
        <f>IFERROR(VLOOKUP(B152,Inputs!$B$69:$D$173,3,FALSE),"N/A")</f>
        <v>N/A</v>
      </c>
      <c r="G152" s="1"/>
      <c r="H152" s="1"/>
      <c r="I152" s="1"/>
      <c r="J152" s="1"/>
      <c r="K152" s="1"/>
      <c r="L152" s="1"/>
      <c r="M152" s="1"/>
      <c r="N152" s="1"/>
      <c r="O152" s="1"/>
    </row>
    <row r="153" spans="2:15" s="13" customFormat="1" x14ac:dyDescent="0.2">
      <c r="B153" s="651">
        <v>453</v>
      </c>
      <c r="C153" s="652" t="s">
        <v>489</v>
      </c>
      <c r="D153" s="644" t="s">
        <v>15</v>
      </c>
      <c r="E153" s="643" t="str">
        <f>IFERROR(VLOOKUP(B153,Inputs!$B$69:$C$173,2,FALSE),"N/A")</f>
        <v>N/A</v>
      </c>
      <c r="F153" s="645" t="str">
        <f>IFERROR(VLOOKUP(B153,Inputs!$B$69:$D$173,3,FALSE),"N/A")</f>
        <v>N/A</v>
      </c>
      <c r="G153" s="1"/>
      <c r="H153" s="1"/>
      <c r="I153" s="1"/>
      <c r="J153" s="1"/>
      <c r="K153" s="1"/>
      <c r="L153" s="1"/>
      <c r="M153" s="1"/>
      <c r="N153" s="1"/>
      <c r="O153" s="1"/>
    </row>
    <row r="154" spans="2:15" s="13" customFormat="1" x14ac:dyDescent="0.2">
      <c r="B154" s="651">
        <v>454</v>
      </c>
      <c r="C154" s="652" t="s">
        <v>493</v>
      </c>
      <c r="D154" s="644" t="s">
        <v>15</v>
      </c>
      <c r="E154" s="643" t="str">
        <f>IFERROR(VLOOKUP(B154,Inputs!$B$69:$C$173,2,FALSE),"N/A")</f>
        <v>N/A</v>
      </c>
      <c r="F154" s="645" t="str">
        <f>IFERROR(VLOOKUP(B154,Inputs!$B$69:$D$173,3,FALSE),"N/A")</f>
        <v>N/A</v>
      </c>
      <c r="G154" s="1"/>
      <c r="H154" s="1"/>
      <c r="I154" s="1"/>
      <c r="J154" s="1"/>
      <c r="K154" s="1"/>
      <c r="L154" s="1"/>
      <c r="M154" s="1"/>
      <c r="N154" s="1"/>
      <c r="O154" s="1"/>
    </row>
    <row r="155" spans="2:15" s="13" customFormat="1" x14ac:dyDescent="0.2">
      <c r="B155" s="651">
        <v>481</v>
      </c>
      <c r="C155" s="652" t="s">
        <v>493</v>
      </c>
      <c r="D155" s="644" t="s">
        <v>15</v>
      </c>
      <c r="E155" s="643" t="str">
        <f>IFERROR(VLOOKUP(B155,Inputs!$B$69:$C$173,2,FALSE),"N/A")</f>
        <v>N/A</v>
      </c>
      <c r="F155" s="645" t="str">
        <f>IFERROR(VLOOKUP(B155,Inputs!$B$69:$D$173,3,FALSE),"N/A")</f>
        <v>N/A</v>
      </c>
      <c r="G155" s="1"/>
      <c r="H155" s="1"/>
      <c r="I155" s="1"/>
      <c r="J155" s="1"/>
      <c r="K155" s="1"/>
      <c r="L155" s="1"/>
      <c r="M155" s="1"/>
      <c r="N155" s="1"/>
      <c r="O155" s="1"/>
    </row>
    <row r="156" spans="2:15" s="13" customFormat="1" x14ac:dyDescent="0.2">
      <c r="B156" s="651">
        <v>482</v>
      </c>
      <c r="C156" s="652" t="s">
        <v>494</v>
      </c>
      <c r="D156" s="644" t="s">
        <v>15</v>
      </c>
      <c r="E156" s="643" t="str">
        <f>IFERROR(VLOOKUP(B156,Inputs!$B$69:$C$173,2,FALSE),"N/A")</f>
        <v>N/A</v>
      </c>
      <c r="F156" s="645" t="str">
        <f>IFERROR(VLOOKUP(B156,Inputs!$B$69:$D$173,3,FALSE),"N/A")</f>
        <v>N/A</v>
      </c>
      <c r="G156" s="1"/>
      <c r="H156" s="1"/>
      <c r="I156" s="1"/>
      <c r="J156" s="1"/>
      <c r="K156" s="1"/>
      <c r="L156" s="1"/>
      <c r="M156" s="1"/>
      <c r="N156" s="1"/>
      <c r="O156" s="1"/>
    </row>
    <row r="157" spans="2:15" s="13" customFormat="1" x14ac:dyDescent="0.2">
      <c r="B157" s="651">
        <v>483</v>
      </c>
      <c r="C157" s="652" t="s">
        <v>492</v>
      </c>
      <c r="D157" s="644" t="s">
        <v>15</v>
      </c>
      <c r="E157" s="643" t="str">
        <f>IFERROR(VLOOKUP(B157,Inputs!$B$69:$C$173,2,FALSE),"N/A")</f>
        <v>N/A</v>
      </c>
      <c r="F157" s="645" t="str">
        <f>IFERROR(VLOOKUP(B157,Inputs!$B$69:$D$173,3,FALSE),"N/A")</f>
        <v>N/A</v>
      </c>
      <c r="G157" s="1"/>
      <c r="H157" s="1"/>
      <c r="I157" s="1"/>
      <c r="J157" s="1"/>
      <c r="K157" s="1"/>
      <c r="L157" s="1"/>
      <c r="M157" s="1"/>
      <c r="N157" s="1"/>
      <c r="O157" s="1"/>
    </row>
    <row r="158" spans="2:15" s="13" customFormat="1" x14ac:dyDescent="0.2">
      <c r="B158" s="651">
        <v>484</v>
      </c>
      <c r="C158" s="652" t="s">
        <v>492</v>
      </c>
      <c r="D158" s="644" t="s">
        <v>15</v>
      </c>
      <c r="E158" s="643" t="str">
        <f>IFERROR(VLOOKUP(B158,Inputs!$B$69:$C$173,2,FALSE),"N/A")</f>
        <v>N/A</v>
      </c>
      <c r="F158" s="645" t="str">
        <f>IFERROR(VLOOKUP(B158,Inputs!$B$69:$D$173,3,FALSE),"N/A")</f>
        <v>N/A</v>
      </c>
      <c r="G158" s="1"/>
      <c r="H158" s="1"/>
      <c r="I158" s="1"/>
      <c r="J158" s="1"/>
      <c r="K158" s="1"/>
      <c r="L158" s="1"/>
      <c r="M158" s="1"/>
      <c r="N158" s="1"/>
      <c r="O158" s="1"/>
    </row>
    <row r="159" spans="2:15" s="13" customFormat="1" x14ac:dyDescent="0.2">
      <c r="B159" s="651">
        <v>485</v>
      </c>
      <c r="C159" s="652" t="s">
        <v>494</v>
      </c>
      <c r="D159" s="644" t="s">
        <v>15</v>
      </c>
      <c r="E159" s="643" t="str">
        <f>IFERROR(VLOOKUP(B159,Inputs!$B$69:$C$173,2,FALSE),"N/A")</f>
        <v>N/A</v>
      </c>
      <c r="F159" s="645" t="str">
        <f>IFERROR(VLOOKUP(B159,Inputs!$B$69:$D$173,3,FALSE),"N/A")</f>
        <v>N/A</v>
      </c>
      <c r="G159" s="1"/>
      <c r="H159" s="1"/>
      <c r="I159" s="1"/>
      <c r="J159" s="1"/>
      <c r="K159" s="1"/>
      <c r="L159" s="1"/>
      <c r="M159" s="1"/>
      <c r="N159" s="1"/>
      <c r="O159" s="1"/>
    </row>
    <row r="160" spans="2:15" s="13" customFormat="1" x14ac:dyDescent="0.2">
      <c r="B160" s="651">
        <v>486</v>
      </c>
      <c r="C160" s="652" t="s">
        <v>544</v>
      </c>
      <c r="D160" s="644" t="s">
        <v>510</v>
      </c>
      <c r="E160" s="643" t="str">
        <f>IFERROR(VLOOKUP(B160,Inputs!$B$69:$C$173,2,FALSE),"N/A")</f>
        <v>N/A</v>
      </c>
      <c r="F160" s="645" t="str">
        <f>IFERROR(VLOOKUP(B160,Inputs!$B$69:$D$173,3,FALSE),"N/A")</f>
        <v>N/A</v>
      </c>
      <c r="G160" s="1"/>
      <c r="H160" s="1"/>
      <c r="I160" s="1"/>
      <c r="J160" s="1"/>
      <c r="K160" s="1"/>
      <c r="L160" s="1"/>
      <c r="M160" s="1"/>
      <c r="N160" s="1"/>
      <c r="O160" s="1"/>
    </row>
    <row r="161" spans="2:15" s="13" customFormat="1" x14ac:dyDescent="0.2">
      <c r="B161" s="651">
        <v>487</v>
      </c>
      <c r="C161" s="652" t="s">
        <v>494</v>
      </c>
      <c r="D161" s="644" t="s">
        <v>15</v>
      </c>
      <c r="E161" s="643" t="str">
        <f>IFERROR(VLOOKUP(B161,Inputs!$B$69:$C$173,2,FALSE),"N/A")</f>
        <v>N/A</v>
      </c>
      <c r="F161" s="645" t="str">
        <f>IFERROR(VLOOKUP(B161,Inputs!$B$69:$D$173,3,FALSE),"N/A")</f>
        <v>N/A</v>
      </c>
      <c r="G161" s="1"/>
      <c r="H161" s="1"/>
      <c r="I161" s="1"/>
      <c r="J161" s="1"/>
      <c r="K161" s="1"/>
      <c r="L161" s="1"/>
      <c r="M161" s="1"/>
      <c r="N161" s="1"/>
      <c r="O161" s="1"/>
    </row>
    <row r="162" spans="2:15" s="13" customFormat="1" x14ac:dyDescent="0.2">
      <c r="B162" s="651">
        <v>488</v>
      </c>
      <c r="C162" s="652" t="s">
        <v>492</v>
      </c>
      <c r="D162" s="644" t="s">
        <v>15</v>
      </c>
      <c r="E162" s="643" t="str">
        <f>IFERROR(VLOOKUP(B162,Inputs!$B$69:$C$173,2,FALSE),"N/A")</f>
        <v>N/A</v>
      </c>
      <c r="F162" s="645" t="str">
        <f>IFERROR(VLOOKUP(B162,Inputs!$B$69:$D$173,3,FALSE),"N/A")</f>
        <v>N/A</v>
      </c>
      <c r="G162" s="1"/>
      <c r="H162" s="1"/>
      <c r="I162" s="1"/>
      <c r="J162" s="1"/>
      <c r="K162" s="1"/>
      <c r="L162" s="1"/>
      <c r="M162" s="1"/>
      <c r="N162" s="1"/>
      <c r="O162" s="1"/>
    </row>
    <row r="163" spans="2:15" s="13" customFormat="1" x14ac:dyDescent="0.2">
      <c r="B163" s="651">
        <v>491</v>
      </c>
      <c r="C163" s="652" t="s">
        <v>492</v>
      </c>
      <c r="D163" s="644" t="s">
        <v>15</v>
      </c>
      <c r="E163" s="643" t="str">
        <f>IFERROR(VLOOKUP(B163,Inputs!$B$69:$C$173,2,FALSE),"N/A")</f>
        <v>N/A</v>
      </c>
      <c r="F163" s="645" t="str">
        <f>IFERROR(VLOOKUP(B163,Inputs!$B$69:$D$173,3,FALSE),"N/A")</f>
        <v>N/A</v>
      </c>
      <c r="G163" s="1"/>
      <c r="H163" s="1"/>
      <c r="I163" s="1"/>
      <c r="J163" s="1"/>
      <c r="K163" s="1"/>
      <c r="L163" s="1"/>
      <c r="M163" s="1"/>
      <c r="N163" s="1"/>
      <c r="O163" s="1"/>
    </row>
    <row r="164" spans="2:15" s="13" customFormat="1" x14ac:dyDescent="0.2">
      <c r="B164" s="651">
        <v>492</v>
      </c>
      <c r="C164" s="652" t="s">
        <v>492</v>
      </c>
      <c r="D164" s="644" t="s">
        <v>15</v>
      </c>
      <c r="E164" s="643" t="str">
        <f>IFERROR(VLOOKUP(B164,Inputs!$B$69:$C$173,2,FALSE),"N/A")</f>
        <v>N/A</v>
      </c>
      <c r="F164" s="645" t="str">
        <f>IFERROR(VLOOKUP(B164,Inputs!$B$69:$D$173,3,FALSE),"N/A")</f>
        <v>N/A</v>
      </c>
      <c r="G164" s="1"/>
      <c r="H164" s="1"/>
      <c r="I164" s="1"/>
      <c r="J164" s="1"/>
      <c r="K164" s="1"/>
      <c r="L164" s="1"/>
      <c r="M164" s="1"/>
      <c r="N164" s="1"/>
      <c r="O164" s="1"/>
    </row>
    <row r="165" spans="2:15" s="13" customFormat="1" x14ac:dyDescent="0.2">
      <c r="B165" s="651">
        <v>493</v>
      </c>
      <c r="C165" s="652" t="s">
        <v>509</v>
      </c>
      <c r="D165" s="644" t="s">
        <v>15</v>
      </c>
      <c r="E165" s="643" t="str">
        <f>IFERROR(VLOOKUP(B165,Inputs!$B$69:$C$173,2,FALSE),"N/A")</f>
        <v>N/A</v>
      </c>
      <c r="F165" s="645" t="str">
        <f>IFERROR(VLOOKUP(B165,Inputs!$B$69:$D$173,3,FALSE),"N/A")</f>
        <v>N/A</v>
      </c>
      <c r="G165" s="1"/>
      <c r="H165" s="1"/>
      <c r="I165" s="1"/>
      <c r="J165" s="1"/>
      <c r="K165" s="1"/>
      <c r="L165" s="1"/>
      <c r="M165" s="1"/>
      <c r="N165" s="1"/>
      <c r="O165" s="1"/>
    </row>
    <row r="166" spans="2:15" s="13" customFormat="1" x14ac:dyDescent="0.2">
      <c r="B166" s="651">
        <v>511</v>
      </c>
      <c r="C166" s="652" t="s">
        <v>493</v>
      </c>
      <c r="D166" s="644" t="s">
        <v>15</v>
      </c>
      <c r="E166" s="643" t="str">
        <f>IFERROR(VLOOKUP(B166,Inputs!$B$69:$C$173,2,FALSE),"N/A")</f>
        <v>N/A</v>
      </c>
      <c r="F166" s="645" t="str">
        <f>IFERROR(VLOOKUP(B166,Inputs!$B$69:$D$173,3,FALSE),"N/A")</f>
        <v>N/A</v>
      </c>
      <c r="G166" s="1"/>
      <c r="H166" s="1"/>
      <c r="I166" s="1"/>
      <c r="J166" s="1"/>
      <c r="K166" s="1"/>
      <c r="L166" s="1"/>
      <c r="M166" s="1"/>
      <c r="N166" s="1"/>
      <c r="O166" s="1"/>
    </row>
    <row r="167" spans="2:15" s="13" customFormat="1" x14ac:dyDescent="0.2">
      <c r="B167" s="651">
        <v>512</v>
      </c>
      <c r="C167" s="652" t="s">
        <v>494</v>
      </c>
      <c r="D167" s="644" t="s">
        <v>15</v>
      </c>
      <c r="E167" s="643" t="str">
        <f>IFERROR(VLOOKUP(B167,Inputs!$B$69:$C$173,2,FALSE),"N/A")</f>
        <v>N/A</v>
      </c>
      <c r="F167" s="645" t="str">
        <f>IFERROR(VLOOKUP(B167,Inputs!$B$69:$D$173,3,FALSE),"N/A")</f>
        <v>N/A</v>
      </c>
      <c r="G167" s="1"/>
      <c r="H167" s="1"/>
      <c r="I167" s="1"/>
      <c r="J167" s="1"/>
      <c r="K167" s="1"/>
      <c r="L167" s="1"/>
      <c r="M167" s="1"/>
      <c r="N167" s="1"/>
      <c r="O167" s="1"/>
    </row>
    <row r="168" spans="2:15" s="13" customFormat="1" x14ac:dyDescent="0.2">
      <c r="B168" s="651">
        <v>515</v>
      </c>
      <c r="C168" s="652" t="s">
        <v>494</v>
      </c>
      <c r="D168" s="644" t="s">
        <v>15</v>
      </c>
      <c r="E168" s="643" t="str">
        <f>IFERROR(VLOOKUP(B168,Inputs!$B$69:$C$173,2,FALSE),"N/A")</f>
        <v>N/A</v>
      </c>
      <c r="F168" s="645" t="str">
        <f>IFERROR(VLOOKUP(B168,Inputs!$B$69:$D$173,3,FALSE),"N/A")</f>
        <v>N/A</v>
      </c>
      <c r="G168" s="1"/>
      <c r="H168" s="1"/>
      <c r="I168" s="1"/>
      <c r="J168" s="1"/>
      <c r="K168" s="1"/>
      <c r="L168" s="1"/>
      <c r="M168" s="1"/>
      <c r="N168" s="1"/>
      <c r="O168" s="1"/>
    </row>
    <row r="169" spans="2:15" s="13" customFormat="1" x14ac:dyDescent="0.2">
      <c r="B169" s="651">
        <v>516</v>
      </c>
      <c r="C169" s="652" t="s">
        <v>493</v>
      </c>
      <c r="D169" s="644" t="s">
        <v>15</v>
      </c>
      <c r="E169" s="643" t="str">
        <f>IFERROR(VLOOKUP(B169,Inputs!$B$69:$C$173,2,FALSE),"N/A")</f>
        <v>N/A</v>
      </c>
      <c r="F169" s="645" t="str">
        <f>IFERROR(VLOOKUP(B169,Inputs!$B$69:$D$173,3,FALSE),"N/A")</f>
        <v>N/A</v>
      </c>
      <c r="G169" s="1"/>
      <c r="H169" s="1"/>
      <c r="I169" s="1"/>
      <c r="J169" s="1"/>
      <c r="K169" s="1"/>
      <c r="L169" s="1"/>
      <c r="M169" s="1"/>
      <c r="N169" s="1"/>
      <c r="O169" s="1"/>
    </row>
    <row r="170" spans="2:15" s="13" customFormat="1" x14ac:dyDescent="0.2">
      <c r="B170" s="651">
        <v>517</v>
      </c>
      <c r="C170" s="652" t="s">
        <v>493</v>
      </c>
      <c r="D170" s="644" t="s">
        <v>15</v>
      </c>
      <c r="E170" s="643" t="str">
        <f>IFERROR(VLOOKUP(B170,Inputs!$B$69:$C$173,2,FALSE),"N/A")</f>
        <v>N/A</v>
      </c>
      <c r="F170" s="645" t="str">
        <f>IFERROR(VLOOKUP(B170,Inputs!$B$69:$D$173,3,FALSE),"N/A")</f>
        <v>N/A</v>
      </c>
      <c r="G170" s="1"/>
      <c r="H170" s="1"/>
      <c r="I170" s="1"/>
      <c r="J170" s="1"/>
      <c r="K170" s="1"/>
      <c r="L170" s="1"/>
      <c r="M170" s="1"/>
      <c r="N170" s="1"/>
      <c r="O170" s="1"/>
    </row>
    <row r="171" spans="2:15" s="13" customFormat="1" x14ac:dyDescent="0.2">
      <c r="B171" s="651">
        <v>518</v>
      </c>
      <c r="C171" s="652" t="s">
        <v>493</v>
      </c>
      <c r="D171" s="644" t="s">
        <v>15</v>
      </c>
      <c r="E171" s="643" t="str">
        <f>IFERROR(VLOOKUP(B171,Inputs!$B$69:$C$173,2,FALSE),"N/A")</f>
        <v>N/A</v>
      </c>
      <c r="F171" s="645" t="str">
        <f>IFERROR(VLOOKUP(B171,Inputs!$B$69:$D$173,3,FALSE),"N/A")</f>
        <v>N/A</v>
      </c>
      <c r="G171" s="1"/>
      <c r="H171" s="1"/>
      <c r="I171" s="1"/>
      <c r="J171" s="1"/>
      <c r="K171" s="1"/>
      <c r="L171" s="1"/>
      <c r="M171" s="1"/>
      <c r="N171" s="1"/>
      <c r="O171" s="1"/>
    </row>
    <row r="172" spans="2:15" s="13" customFormat="1" x14ac:dyDescent="0.2">
      <c r="B172" s="651">
        <v>519</v>
      </c>
      <c r="C172" s="652" t="s">
        <v>493</v>
      </c>
      <c r="D172" s="644" t="s">
        <v>15</v>
      </c>
      <c r="E172" s="643" t="str">
        <f>IFERROR(VLOOKUP(B172,Inputs!$B$69:$C$173,2,FALSE),"N/A")</f>
        <v>N/A</v>
      </c>
      <c r="F172" s="645" t="str">
        <f>IFERROR(VLOOKUP(B172,Inputs!$B$69:$D$173,3,FALSE),"N/A")</f>
        <v>N/A</v>
      </c>
      <c r="G172" s="1"/>
      <c r="H172" s="1"/>
      <c r="I172" s="1"/>
      <c r="J172" s="1"/>
      <c r="K172" s="1"/>
      <c r="L172" s="1"/>
      <c r="M172" s="1"/>
      <c r="N172" s="1"/>
      <c r="O172" s="1"/>
    </row>
    <row r="173" spans="2:15" s="13" customFormat="1" x14ac:dyDescent="0.2">
      <c r="B173" s="651">
        <v>521</v>
      </c>
      <c r="C173" s="652" t="s">
        <v>493</v>
      </c>
      <c r="D173" s="644" t="s">
        <v>15</v>
      </c>
      <c r="E173" s="643" t="str">
        <f>IFERROR(VLOOKUP(B173,Inputs!$B$69:$C$173,2,FALSE),"N/A")</f>
        <v>N/A</v>
      </c>
      <c r="F173" s="645" t="str">
        <f>IFERROR(VLOOKUP(B173,Inputs!$B$69:$D$173,3,FALSE),"N/A")</f>
        <v>N/A</v>
      </c>
      <c r="G173" s="1"/>
      <c r="H173" s="1"/>
      <c r="I173" s="1"/>
      <c r="J173" s="1"/>
      <c r="K173" s="1"/>
      <c r="L173" s="1"/>
      <c r="M173" s="1"/>
      <c r="N173" s="1"/>
      <c r="O173" s="1"/>
    </row>
    <row r="174" spans="2:15" s="13" customFormat="1" x14ac:dyDescent="0.2">
      <c r="B174" s="651">
        <v>522</v>
      </c>
      <c r="C174" s="652" t="s">
        <v>493</v>
      </c>
      <c r="D174" s="644" t="s">
        <v>15</v>
      </c>
      <c r="E174" s="643" t="str">
        <f>IFERROR(VLOOKUP(B174,Inputs!$B$69:$C$173,2,FALSE),"N/A")</f>
        <v>N/A</v>
      </c>
      <c r="F174" s="645" t="str">
        <f>IFERROR(VLOOKUP(B174,Inputs!$B$69:$D$173,3,FALSE),"N/A")</f>
        <v>N/A</v>
      </c>
      <c r="G174" s="1"/>
      <c r="H174" s="1"/>
      <c r="I174" s="1"/>
      <c r="J174" s="1"/>
      <c r="K174" s="1"/>
      <c r="L174" s="1"/>
      <c r="M174" s="1"/>
      <c r="N174" s="1"/>
      <c r="O174" s="1"/>
    </row>
    <row r="175" spans="2:15" s="13" customFormat="1" x14ac:dyDescent="0.2">
      <c r="B175" s="651">
        <v>523</v>
      </c>
      <c r="C175" s="652" t="s">
        <v>493</v>
      </c>
      <c r="D175" s="644" t="s">
        <v>15</v>
      </c>
      <c r="E175" s="643" t="str">
        <f>IFERROR(VLOOKUP(B175,Inputs!$B$69:$C$173,2,FALSE),"N/A")</f>
        <v>N/A</v>
      </c>
      <c r="F175" s="645" t="str">
        <f>IFERROR(VLOOKUP(B175,Inputs!$B$69:$D$173,3,FALSE),"N/A")</f>
        <v>N/A</v>
      </c>
      <c r="G175" s="1"/>
      <c r="H175" s="1"/>
      <c r="I175" s="1"/>
      <c r="J175" s="1"/>
      <c r="K175" s="1"/>
      <c r="L175" s="1"/>
      <c r="M175" s="1"/>
      <c r="N175" s="1"/>
      <c r="O175" s="1"/>
    </row>
    <row r="176" spans="2:15" s="13" customFormat="1" x14ac:dyDescent="0.2">
      <c r="B176" s="651">
        <v>524</v>
      </c>
      <c r="C176" s="652" t="s">
        <v>493</v>
      </c>
      <c r="D176" s="644" t="s">
        <v>15</v>
      </c>
      <c r="E176" s="643" t="str">
        <f>IFERROR(VLOOKUP(B176,Inputs!$B$69:$C$173,2,FALSE),"N/A")</f>
        <v>N/A</v>
      </c>
      <c r="F176" s="645" t="str">
        <f>IFERROR(VLOOKUP(B176,Inputs!$B$69:$D$173,3,FALSE),"N/A")</f>
        <v>N/A</v>
      </c>
      <c r="G176" s="1"/>
      <c r="H176" s="1"/>
      <c r="I176" s="1"/>
      <c r="J176" s="1"/>
      <c r="K176" s="1"/>
      <c r="L176" s="1"/>
      <c r="M176" s="1"/>
      <c r="N176" s="1"/>
      <c r="O176" s="1"/>
    </row>
    <row r="177" spans="2:15" s="13" customFormat="1" x14ac:dyDescent="0.2">
      <c r="B177" s="651">
        <v>525</v>
      </c>
      <c r="C177" s="652" t="s">
        <v>493</v>
      </c>
      <c r="D177" s="644" t="s">
        <v>15</v>
      </c>
      <c r="E177" s="643" t="str">
        <f>IFERROR(VLOOKUP(B177,Inputs!$B$69:$C$173,2,FALSE),"N/A")</f>
        <v>N/A</v>
      </c>
      <c r="F177" s="645" t="str">
        <f>IFERROR(VLOOKUP(B177,Inputs!$B$69:$D$173,3,FALSE),"N/A")</f>
        <v>N/A</v>
      </c>
      <c r="G177" s="1"/>
      <c r="H177" s="1"/>
      <c r="I177" s="1"/>
      <c r="J177" s="1"/>
      <c r="K177" s="1"/>
      <c r="L177" s="1"/>
      <c r="M177" s="1"/>
      <c r="N177" s="1"/>
      <c r="O177" s="1"/>
    </row>
    <row r="178" spans="2:15" s="13" customFormat="1" x14ac:dyDescent="0.2">
      <c r="B178" s="651">
        <v>531</v>
      </c>
      <c r="C178" s="652" t="s">
        <v>493</v>
      </c>
      <c r="D178" s="644" t="s">
        <v>15</v>
      </c>
      <c r="E178" s="643" t="str">
        <f>IFERROR(VLOOKUP(B178,Inputs!$B$69:$C$173,2,FALSE),"N/A")</f>
        <v>N/A</v>
      </c>
      <c r="F178" s="645" t="str">
        <f>IFERROR(VLOOKUP(B178,Inputs!$B$69:$D$173,3,FALSE),"N/A")</f>
        <v>N/A</v>
      </c>
      <c r="G178" s="1"/>
      <c r="H178" s="1"/>
      <c r="I178" s="1"/>
      <c r="J178" s="1"/>
      <c r="K178" s="1"/>
      <c r="L178" s="1"/>
      <c r="M178" s="1"/>
      <c r="N178" s="1"/>
      <c r="O178" s="1"/>
    </row>
    <row r="179" spans="2:15" s="13" customFormat="1" x14ac:dyDescent="0.2">
      <c r="B179" s="651">
        <v>532</v>
      </c>
      <c r="C179" s="652" t="s">
        <v>489</v>
      </c>
      <c r="D179" s="644" t="s">
        <v>15</v>
      </c>
      <c r="E179" s="643" t="str">
        <f>IFERROR(VLOOKUP(B179,Inputs!$B$69:$C$173,2,FALSE),"N/A")</f>
        <v>N/A</v>
      </c>
      <c r="F179" s="645" t="str">
        <f>IFERROR(VLOOKUP(B179,Inputs!$B$69:$D$173,3,FALSE),"N/A")</f>
        <v>N/A</v>
      </c>
      <c r="G179" s="1"/>
      <c r="H179" s="1"/>
      <c r="I179" s="1"/>
      <c r="J179" s="1"/>
      <c r="K179" s="1"/>
      <c r="L179" s="1"/>
      <c r="M179" s="1"/>
      <c r="N179" s="1"/>
      <c r="O179" s="1"/>
    </row>
    <row r="180" spans="2:15" s="13" customFormat="1" x14ac:dyDescent="0.2">
      <c r="B180" s="651">
        <v>533</v>
      </c>
      <c r="C180" s="652" t="s">
        <v>493</v>
      </c>
      <c r="D180" s="644" t="s">
        <v>15</v>
      </c>
      <c r="E180" s="643" t="str">
        <f>IFERROR(VLOOKUP(B180,Inputs!$B$69:$C$173,2,FALSE),"N/A")</f>
        <v>N/A</v>
      </c>
      <c r="F180" s="645" t="str">
        <f>IFERROR(VLOOKUP(B180,Inputs!$B$69:$D$173,3,FALSE),"N/A")</f>
        <v>N/A</v>
      </c>
      <c r="G180" s="1"/>
      <c r="H180" s="1"/>
      <c r="I180" s="1"/>
      <c r="J180" s="1"/>
      <c r="K180" s="1"/>
      <c r="L180" s="1"/>
      <c r="M180" s="1"/>
      <c r="N180" s="1"/>
      <c r="O180" s="1"/>
    </row>
    <row r="181" spans="2:15" s="13" customFormat="1" x14ac:dyDescent="0.2">
      <c r="B181" s="651">
        <v>541</v>
      </c>
      <c r="C181" s="652" t="s">
        <v>493</v>
      </c>
      <c r="D181" s="644" t="s">
        <v>15</v>
      </c>
      <c r="E181" s="643" t="str">
        <f>IFERROR(VLOOKUP(B181,Inputs!$B$69:$C$173,2,FALSE),"N/A")</f>
        <v>N/A</v>
      </c>
      <c r="F181" s="645" t="str">
        <f>IFERROR(VLOOKUP(B181,Inputs!$B$69:$D$173,3,FALSE),"N/A")</f>
        <v>N/A</v>
      </c>
      <c r="G181" s="1"/>
      <c r="H181" s="1"/>
      <c r="I181" s="1"/>
      <c r="J181" s="1"/>
      <c r="K181" s="1"/>
      <c r="L181" s="1"/>
      <c r="M181" s="1"/>
      <c r="N181" s="1"/>
      <c r="O181" s="1"/>
    </row>
    <row r="182" spans="2:15" s="13" customFormat="1" x14ac:dyDescent="0.2">
      <c r="B182" s="651">
        <v>551</v>
      </c>
      <c r="C182" s="652" t="s">
        <v>493</v>
      </c>
      <c r="D182" s="644" t="s">
        <v>15</v>
      </c>
      <c r="E182" s="643" t="str">
        <f>IFERROR(VLOOKUP(B182,Inputs!$B$69:$C$173,2,FALSE),"N/A")</f>
        <v>N/A</v>
      </c>
      <c r="F182" s="645" t="str">
        <f>IFERROR(VLOOKUP(B182,Inputs!$B$69:$D$173,3,FALSE),"N/A")</f>
        <v>N/A</v>
      </c>
      <c r="G182" s="1"/>
      <c r="H182" s="1"/>
      <c r="I182" s="1"/>
      <c r="J182" s="1"/>
      <c r="K182" s="1"/>
      <c r="L182" s="1"/>
      <c r="M182" s="1"/>
      <c r="N182" s="1"/>
      <c r="O182" s="1"/>
    </row>
    <row r="183" spans="2:15" s="13" customFormat="1" x14ac:dyDescent="0.2">
      <c r="B183" s="651">
        <v>561</v>
      </c>
      <c r="C183" s="652" t="s">
        <v>493</v>
      </c>
      <c r="D183" s="644" t="s">
        <v>15</v>
      </c>
      <c r="E183" s="643" t="str">
        <f>IFERROR(VLOOKUP(B183,Inputs!$B$69:$C$173,2,FALSE),"N/A")</f>
        <v>N/A</v>
      </c>
      <c r="F183" s="645" t="str">
        <f>IFERROR(VLOOKUP(B183,Inputs!$B$69:$D$173,3,FALSE),"N/A")</f>
        <v>N/A</v>
      </c>
      <c r="G183" s="1"/>
      <c r="H183" s="1"/>
      <c r="I183" s="1"/>
      <c r="J183" s="1"/>
      <c r="K183" s="1"/>
      <c r="L183" s="1"/>
      <c r="M183" s="1"/>
      <c r="N183" s="1"/>
      <c r="O183" s="1"/>
    </row>
    <row r="184" spans="2:15" s="13" customFormat="1" x14ac:dyDescent="0.2">
      <c r="B184" s="651">
        <v>562</v>
      </c>
      <c r="C184" s="652" t="s">
        <v>510</v>
      </c>
      <c r="D184" s="644" t="s">
        <v>15</v>
      </c>
      <c r="E184" s="643" t="str">
        <f>IFERROR(VLOOKUP(B184,Inputs!$B$69:$C$173,2,FALSE),"N/A")</f>
        <v>N/A</v>
      </c>
      <c r="F184" s="645" t="str">
        <f>IFERROR(VLOOKUP(B184,Inputs!$B$69:$D$173,3,FALSE),"N/A")</f>
        <v>N/A</v>
      </c>
      <c r="G184" s="1"/>
      <c r="H184" s="1"/>
      <c r="I184" s="1"/>
      <c r="J184" s="1"/>
      <c r="K184" s="1"/>
      <c r="L184" s="1"/>
      <c r="M184" s="1"/>
      <c r="N184" s="1"/>
      <c r="O184" s="1"/>
    </row>
    <row r="185" spans="2:15" s="13" customFormat="1" x14ac:dyDescent="0.2">
      <c r="B185" s="651">
        <v>611</v>
      </c>
      <c r="C185" s="653" t="s">
        <v>262</v>
      </c>
      <c r="D185" s="644" t="s">
        <v>15</v>
      </c>
      <c r="E185" s="643" t="str">
        <f>IFERROR(VLOOKUP(B185,Inputs!$B$69:$C$173,2,FALSE),"N/A")</f>
        <v>N/A</v>
      </c>
      <c r="F185" s="645" t="str">
        <f>IFERROR(VLOOKUP(B185,Inputs!$B$69:$D$173,3,FALSE),"N/A")</f>
        <v>N/A</v>
      </c>
      <c r="G185" s="1"/>
      <c r="H185" s="1"/>
      <c r="I185" s="1"/>
      <c r="J185" s="1"/>
      <c r="K185" s="1"/>
      <c r="L185" s="1"/>
      <c r="M185" s="1"/>
      <c r="N185" s="1"/>
      <c r="O185" s="1"/>
    </row>
    <row r="186" spans="2:15" s="13" customFormat="1" x14ac:dyDescent="0.2">
      <c r="B186" s="651">
        <v>621</v>
      </c>
      <c r="C186" s="652" t="s">
        <v>495</v>
      </c>
      <c r="D186" s="644" t="s">
        <v>15</v>
      </c>
      <c r="E186" s="643" t="str">
        <f>IFERROR(VLOOKUP(B186,Inputs!$B$69:$C$173,2,FALSE),"N/A")</f>
        <v>N/A</v>
      </c>
      <c r="F186" s="645" t="str">
        <f>IFERROR(VLOOKUP(B186,Inputs!$B$69:$D$173,3,FALSE),"N/A")</f>
        <v>N/A</v>
      </c>
      <c r="G186" s="1"/>
      <c r="H186" s="1"/>
      <c r="I186" s="1"/>
      <c r="J186" s="1"/>
      <c r="K186" s="1"/>
      <c r="L186" s="1"/>
      <c r="M186" s="1"/>
      <c r="N186" s="1"/>
      <c r="O186" s="1"/>
    </row>
    <row r="187" spans="2:15" s="13" customFormat="1" x14ac:dyDescent="0.2">
      <c r="B187" s="651">
        <v>622</v>
      </c>
      <c r="C187" s="652" t="s">
        <v>507</v>
      </c>
      <c r="D187" s="644" t="s">
        <v>15</v>
      </c>
      <c r="E187" s="643" t="str">
        <f>IFERROR(VLOOKUP(B187,Inputs!$B$69:$C$173,2,FALSE),"N/A")</f>
        <v>N/A</v>
      </c>
      <c r="F187" s="645" t="str">
        <f>IFERROR(VLOOKUP(B187,Inputs!$B$69:$D$173,3,FALSE),"N/A")</f>
        <v>N/A</v>
      </c>
      <c r="G187" s="1"/>
      <c r="H187" s="1"/>
      <c r="I187" s="1"/>
      <c r="J187" s="1"/>
      <c r="K187" s="1"/>
      <c r="L187" s="1"/>
      <c r="M187" s="1"/>
      <c r="N187" s="1"/>
      <c r="O187" s="1"/>
    </row>
    <row r="188" spans="2:15" s="13" customFormat="1" x14ac:dyDescent="0.2">
      <c r="B188" s="651">
        <v>623</v>
      </c>
      <c r="C188" s="652" t="s">
        <v>496</v>
      </c>
      <c r="D188" s="644" t="s">
        <v>15</v>
      </c>
      <c r="E188" s="643" t="str">
        <f>IFERROR(VLOOKUP(B188,Inputs!$B$69:$C$173,2,FALSE),"N/A")</f>
        <v>N/A</v>
      </c>
      <c r="F188" s="645" t="str">
        <f>IFERROR(VLOOKUP(B188,Inputs!$B$69:$D$173,3,FALSE),"N/A")</f>
        <v>N/A</v>
      </c>
      <c r="G188" s="1"/>
      <c r="H188" s="1"/>
      <c r="I188" s="1"/>
      <c r="J188" s="1"/>
      <c r="K188" s="1"/>
      <c r="L188" s="1"/>
      <c r="M188" s="1"/>
      <c r="N188" s="1"/>
      <c r="O188" s="1"/>
    </row>
    <row r="189" spans="2:15" s="13" customFormat="1" x14ac:dyDescent="0.2">
      <c r="B189" s="651">
        <v>624</v>
      </c>
      <c r="C189" s="652" t="s">
        <v>493</v>
      </c>
      <c r="D189" s="644" t="s">
        <v>15</v>
      </c>
      <c r="E189" s="643" t="str">
        <f>IFERROR(VLOOKUP(B189,Inputs!$B$69:$C$173,2,FALSE),"N/A")</f>
        <v>N/A</v>
      </c>
      <c r="F189" s="645" t="str">
        <f>IFERROR(VLOOKUP(B189,Inputs!$B$69:$D$173,3,FALSE),"N/A")</f>
        <v>N/A</v>
      </c>
      <c r="G189" s="1"/>
      <c r="H189" s="1"/>
      <c r="I189" s="1"/>
      <c r="J189" s="1"/>
      <c r="K189" s="1"/>
      <c r="L189" s="1"/>
      <c r="M189" s="1"/>
      <c r="N189" s="1"/>
      <c r="O189" s="1"/>
    </row>
    <row r="190" spans="2:15" s="13" customFormat="1" x14ac:dyDescent="0.2">
      <c r="B190" s="651">
        <v>711</v>
      </c>
      <c r="C190" s="652" t="s">
        <v>494</v>
      </c>
      <c r="D190" s="644" t="s">
        <v>15</v>
      </c>
      <c r="E190" s="643" t="str">
        <f>IFERROR(VLOOKUP(B190,Inputs!$B$69:$C$173,2,FALSE),"N/A")</f>
        <v>N/A</v>
      </c>
      <c r="F190" s="645" t="str">
        <f>IFERROR(VLOOKUP(B190,Inputs!$B$69:$D$173,3,FALSE),"N/A")</f>
        <v>N/A</v>
      </c>
      <c r="G190" s="1"/>
      <c r="H190" s="1"/>
      <c r="I190" s="1"/>
      <c r="J190" s="1"/>
      <c r="K190" s="1"/>
      <c r="L190" s="1"/>
      <c r="M190" s="1"/>
      <c r="N190" s="1"/>
      <c r="O190" s="1"/>
    </row>
    <row r="191" spans="2:15" s="13" customFormat="1" x14ac:dyDescent="0.2">
      <c r="B191" s="651">
        <v>712</v>
      </c>
      <c r="C191" s="652" t="s">
        <v>494</v>
      </c>
      <c r="D191" s="644" t="s">
        <v>15</v>
      </c>
      <c r="E191" s="643" t="str">
        <f>IFERROR(VLOOKUP(B191,Inputs!$B$69:$C$173,2,FALSE),"N/A")</f>
        <v>N/A</v>
      </c>
      <c r="F191" s="645" t="str">
        <f>IFERROR(VLOOKUP(B191,Inputs!$B$69:$D$173,3,FALSE),"N/A")</f>
        <v>N/A</v>
      </c>
      <c r="G191" s="1"/>
      <c r="H191" s="1"/>
      <c r="I191" s="1"/>
      <c r="J191" s="1"/>
      <c r="K191" s="1"/>
      <c r="L191" s="1"/>
      <c r="M191" s="1"/>
      <c r="N191" s="1"/>
      <c r="O191" s="1"/>
    </row>
    <row r="192" spans="2:15" s="13" customFormat="1" x14ac:dyDescent="0.2">
      <c r="B192" s="651">
        <v>713</v>
      </c>
      <c r="C192" s="652" t="s">
        <v>494</v>
      </c>
      <c r="D192" s="644" t="s">
        <v>15</v>
      </c>
      <c r="E192" s="643" t="str">
        <f>IFERROR(VLOOKUP(B192,Inputs!$B$69:$C$173,2,FALSE),"N/A")</f>
        <v>N/A</v>
      </c>
      <c r="F192" s="645" t="str">
        <f>IFERROR(VLOOKUP(B192,Inputs!$B$69:$D$173,3,FALSE),"N/A")</f>
        <v>N/A</v>
      </c>
      <c r="G192" s="1"/>
      <c r="H192" s="1"/>
      <c r="I192" s="1"/>
      <c r="J192" s="1"/>
      <c r="K192" s="1"/>
      <c r="L192" s="1"/>
      <c r="M192" s="1"/>
      <c r="N192" s="1"/>
      <c r="O192" s="1"/>
    </row>
    <row r="193" spans="2:15" s="13" customFormat="1" x14ac:dyDescent="0.2">
      <c r="B193" s="651">
        <v>721</v>
      </c>
      <c r="C193" s="652" t="s">
        <v>496</v>
      </c>
      <c r="D193" s="644" t="s">
        <v>15</v>
      </c>
      <c r="E193" s="643" t="str">
        <f>IFERROR(VLOOKUP(B193,Inputs!$B$69:$C$173,2,FALSE),"N/A")</f>
        <v>N/A</v>
      </c>
      <c r="F193" s="645" t="str">
        <f>IFERROR(VLOOKUP(B193,Inputs!$B$69:$D$173,3,FALSE),"N/A")</f>
        <v>N/A</v>
      </c>
      <c r="G193" s="1"/>
      <c r="H193" s="1"/>
      <c r="I193" s="1"/>
      <c r="J193" s="1"/>
      <c r="K193" s="1"/>
      <c r="L193" s="1"/>
      <c r="M193" s="1"/>
      <c r="N193" s="1"/>
      <c r="O193" s="1"/>
    </row>
    <row r="194" spans="2:15" s="13" customFormat="1" x14ac:dyDescent="0.2">
      <c r="B194" s="651">
        <v>722</v>
      </c>
      <c r="C194" s="652" t="s">
        <v>497</v>
      </c>
      <c r="D194" s="644" t="s">
        <v>15</v>
      </c>
      <c r="E194" s="643" t="str">
        <f>IFERROR(VLOOKUP(B194,Inputs!$B$69:$C$173,2,FALSE),"N/A")</f>
        <v>N/A</v>
      </c>
      <c r="F194" s="645" t="str">
        <f>IFERROR(VLOOKUP(B194,Inputs!$B$69:$D$173,3,FALSE),"N/A")</f>
        <v>N/A</v>
      </c>
      <c r="G194" s="1"/>
      <c r="H194" s="1"/>
      <c r="I194" s="1"/>
      <c r="J194" s="1"/>
      <c r="K194" s="1"/>
      <c r="L194" s="1"/>
      <c r="M194" s="1"/>
      <c r="N194" s="1"/>
      <c r="O194" s="1"/>
    </row>
    <row r="195" spans="2:15" s="13" customFormat="1" x14ac:dyDescent="0.2">
      <c r="B195" s="651">
        <v>811</v>
      </c>
      <c r="C195" s="652" t="s">
        <v>492</v>
      </c>
      <c r="D195" s="644" t="s">
        <v>15</v>
      </c>
      <c r="E195" s="643" t="str">
        <f>IFERROR(VLOOKUP(B195,Inputs!$B$69:$C$173,2,FALSE),"N/A")</f>
        <v>N/A</v>
      </c>
      <c r="F195" s="645" t="str">
        <f>IFERROR(VLOOKUP(B195,Inputs!$B$69:$D$173,3,FALSE),"N/A")</f>
        <v>N/A</v>
      </c>
      <c r="G195" s="1"/>
      <c r="H195" s="1"/>
      <c r="I195" s="1"/>
      <c r="J195" s="1"/>
      <c r="K195" s="1"/>
      <c r="L195" s="1"/>
      <c r="M195" s="1"/>
      <c r="N195" s="1"/>
      <c r="O195" s="1"/>
    </row>
    <row r="196" spans="2:15" s="13" customFormat="1" x14ac:dyDescent="0.2">
      <c r="B196" s="651">
        <v>812</v>
      </c>
      <c r="C196" s="652" t="s">
        <v>492</v>
      </c>
      <c r="D196" s="644" t="s">
        <v>15</v>
      </c>
      <c r="E196" s="643" t="str">
        <f>IFERROR(VLOOKUP(B196,Inputs!$B$69:$C$173,2,FALSE),"N/A")</f>
        <v>N/A</v>
      </c>
      <c r="F196" s="645" t="str">
        <f>IFERROR(VLOOKUP(B196,Inputs!$B$69:$D$173,3,FALSE),"N/A")</f>
        <v>N/A</v>
      </c>
      <c r="G196" s="1"/>
      <c r="H196" s="1"/>
      <c r="I196" s="1"/>
      <c r="J196" s="1"/>
      <c r="K196" s="1"/>
      <c r="L196" s="1"/>
      <c r="M196" s="1"/>
      <c r="N196" s="1"/>
      <c r="O196" s="1"/>
    </row>
    <row r="197" spans="2:15" s="13" customFormat="1" x14ac:dyDescent="0.2">
      <c r="B197" s="651">
        <v>813</v>
      </c>
      <c r="C197" s="652" t="s">
        <v>498</v>
      </c>
      <c r="D197" s="644" t="s">
        <v>15</v>
      </c>
      <c r="E197" s="643" t="str">
        <f>IFERROR(VLOOKUP(B197,Inputs!$B$69:$C$173,2,FALSE),"N/A")</f>
        <v>N/A</v>
      </c>
      <c r="F197" s="645" t="str">
        <f>IFERROR(VLOOKUP(B197,Inputs!$B$69:$D$173,3,FALSE),"N/A")</f>
        <v>N/A</v>
      </c>
      <c r="G197" s="1"/>
      <c r="H197" s="1"/>
      <c r="I197" s="1"/>
      <c r="J197" s="1"/>
      <c r="K197" s="1"/>
      <c r="L197" s="1"/>
      <c r="M197" s="1"/>
      <c r="N197" s="1"/>
      <c r="O197" s="1"/>
    </row>
    <row r="198" spans="2:15" s="13" customFormat="1" x14ac:dyDescent="0.2">
      <c r="B198" s="651">
        <v>814</v>
      </c>
      <c r="C198" s="652" t="s">
        <v>525</v>
      </c>
      <c r="D198" s="644" t="s">
        <v>510</v>
      </c>
      <c r="E198" s="643" t="str">
        <f>IFERROR(VLOOKUP(B198,Inputs!$B$69:$C$173,2,FALSE),"N/A")</f>
        <v>N/A</v>
      </c>
      <c r="F198" s="645" t="str">
        <f>IFERROR(VLOOKUP(B198,Inputs!$B$69:$D$173,3,FALSE),"N/A")</f>
        <v>N/A</v>
      </c>
      <c r="G198" s="1"/>
      <c r="H198" s="1"/>
      <c r="I198" s="1"/>
      <c r="J198" s="1"/>
      <c r="K198" s="1"/>
      <c r="L198" s="1"/>
      <c r="M198" s="1"/>
      <c r="N198" s="1"/>
      <c r="O198" s="1"/>
    </row>
    <row r="199" spans="2:15" s="13" customFormat="1" x14ac:dyDescent="0.2">
      <c r="B199" s="651">
        <v>921</v>
      </c>
      <c r="C199" s="652" t="s">
        <v>493</v>
      </c>
      <c r="D199" s="644" t="s">
        <v>15</v>
      </c>
      <c r="E199" s="643" t="str">
        <f>IFERROR(VLOOKUP(B199,Inputs!$B$69:$C$173,2,FALSE),"N/A")</f>
        <v>N/A</v>
      </c>
      <c r="F199" s="645" t="str">
        <f>IFERROR(VLOOKUP(B199,Inputs!$B$69:$D$173,3,FALSE),"N/A")</f>
        <v>N/A</v>
      </c>
      <c r="G199" s="1"/>
      <c r="H199" s="1"/>
      <c r="I199" s="1"/>
      <c r="J199" s="1"/>
      <c r="K199" s="1"/>
      <c r="L199" s="1"/>
      <c r="M199" s="1"/>
      <c r="N199" s="1"/>
      <c r="O199" s="1"/>
    </row>
    <row r="200" spans="2:15" s="13" customFormat="1" x14ac:dyDescent="0.2">
      <c r="B200" s="651">
        <v>922</v>
      </c>
      <c r="C200" s="652" t="s">
        <v>508</v>
      </c>
      <c r="D200" s="644" t="s">
        <v>15</v>
      </c>
      <c r="E200" s="643" t="str">
        <f>IFERROR(VLOOKUP(B200,Inputs!$B$69:$C$173,2,FALSE),"N/A")</f>
        <v>N/A</v>
      </c>
      <c r="F200" s="645" t="str">
        <f>IFERROR(VLOOKUP(B200,Inputs!$B$69:$D$173,3,FALSE),"N/A")</f>
        <v>N/A</v>
      </c>
      <c r="G200" s="1"/>
      <c r="H200" s="1"/>
      <c r="I200" s="1"/>
      <c r="J200" s="1"/>
      <c r="K200" s="1"/>
      <c r="L200" s="1"/>
      <c r="M200" s="1"/>
      <c r="N200" s="1"/>
      <c r="O200" s="1"/>
    </row>
    <row r="201" spans="2:15" s="13" customFormat="1" x14ac:dyDescent="0.2">
      <c r="B201" s="651">
        <v>923</v>
      </c>
      <c r="C201" s="652" t="s">
        <v>493</v>
      </c>
      <c r="D201" s="644" t="s">
        <v>15</v>
      </c>
      <c r="E201" s="643" t="str">
        <f>IFERROR(VLOOKUP(B201,Inputs!$B$69:$C$173,2,FALSE),"N/A")</f>
        <v>N/A</v>
      </c>
      <c r="F201" s="645" t="str">
        <f>IFERROR(VLOOKUP(B201,Inputs!$B$69:$D$173,3,FALSE),"N/A")</f>
        <v>N/A</v>
      </c>
      <c r="G201" s="1"/>
      <c r="H201" s="1"/>
      <c r="I201" s="1"/>
      <c r="J201" s="1"/>
      <c r="K201" s="1"/>
      <c r="L201" s="1"/>
      <c r="M201" s="1"/>
      <c r="N201" s="1"/>
      <c r="O201" s="1"/>
    </row>
    <row r="202" spans="2:15" s="13" customFormat="1" x14ac:dyDescent="0.2">
      <c r="B202" s="651">
        <v>924</v>
      </c>
      <c r="C202" s="652" t="s">
        <v>493</v>
      </c>
      <c r="D202" s="644" t="s">
        <v>15</v>
      </c>
      <c r="E202" s="643" t="str">
        <f>IFERROR(VLOOKUP(B202,Inputs!$B$69:$C$173,2,FALSE),"N/A")</f>
        <v>N/A</v>
      </c>
      <c r="F202" s="645" t="str">
        <f>IFERROR(VLOOKUP(B202,Inputs!$B$69:$D$173,3,FALSE),"N/A")</f>
        <v>N/A</v>
      </c>
      <c r="G202" s="1"/>
      <c r="H202" s="1"/>
      <c r="I202" s="1"/>
      <c r="J202" s="1"/>
      <c r="K202" s="1"/>
      <c r="L202" s="1"/>
      <c r="M202" s="1"/>
      <c r="N202" s="1"/>
      <c r="O202" s="1"/>
    </row>
    <row r="203" spans="2:15" s="13" customFormat="1" x14ac:dyDescent="0.2">
      <c r="B203" s="651">
        <v>925</v>
      </c>
      <c r="C203" s="652" t="s">
        <v>493</v>
      </c>
      <c r="D203" s="644" t="s">
        <v>15</v>
      </c>
      <c r="E203" s="643" t="str">
        <f>IFERROR(VLOOKUP(B203,Inputs!$B$69:$C$173,2,FALSE),"N/A")</f>
        <v>N/A</v>
      </c>
      <c r="F203" s="645" t="str">
        <f>IFERROR(VLOOKUP(B203,Inputs!$B$69:$D$173,3,FALSE),"N/A")</f>
        <v>N/A</v>
      </c>
      <c r="G203" s="1"/>
      <c r="H203" s="1"/>
      <c r="I203" s="1"/>
      <c r="J203" s="1"/>
      <c r="K203" s="1"/>
      <c r="L203" s="1"/>
      <c r="M203" s="1"/>
      <c r="N203" s="1"/>
      <c r="O203" s="1"/>
    </row>
    <row r="204" spans="2:15" s="13" customFormat="1" x14ac:dyDescent="0.2">
      <c r="B204" s="651">
        <v>926</v>
      </c>
      <c r="C204" s="652" t="s">
        <v>493</v>
      </c>
      <c r="D204" s="644" t="s">
        <v>15</v>
      </c>
      <c r="E204" s="643" t="str">
        <f>IFERROR(VLOOKUP(B204,Inputs!$B$69:$C$173,2,FALSE),"N/A")</f>
        <v>N/A</v>
      </c>
      <c r="F204" s="645" t="str">
        <f>IFERROR(VLOOKUP(B204,Inputs!$B$69:$D$173,3,FALSE),"N/A")</f>
        <v>N/A</v>
      </c>
      <c r="G204" s="1"/>
      <c r="H204" s="1"/>
      <c r="I204" s="1"/>
      <c r="J204" s="1"/>
      <c r="K204" s="1"/>
      <c r="L204" s="1"/>
      <c r="M204" s="1"/>
      <c r="N204" s="1"/>
      <c r="O204" s="1"/>
    </row>
    <row r="205" spans="2:15" s="13" customFormat="1" x14ac:dyDescent="0.2">
      <c r="B205" s="651">
        <v>927</v>
      </c>
      <c r="C205" s="652" t="s">
        <v>510</v>
      </c>
      <c r="D205" s="644" t="s">
        <v>15</v>
      </c>
      <c r="E205" s="643" t="str">
        <f>IFERROR(VLOOKUP(B205,Inputs!$B$69:$C$173,2,FALSE),"N/A")</f>
        <v>N/A</v>
      </c>
      <c r="F205" s="645" t="str">
        <f>IFERROR(VLOOKUP(B205,Inputs!$B$69:$D$173,3,FALSE),"N/A")</f>
        <v>N/A</v>
      </c>
      <c r="G205" s="1"/>
      <c r="H205" s="1"/>
      <c r="I205" s="1"/>
      <c r="J205" s="1"/>
      <c r="K205" s="1"/>
      <c r="L205" s="1"/>
      <c r="M205" s="1"/>
      <c r="N205" s="1"/>
      <c r="O205" s="1"/>
    </row>
    <row r="206" spans="2:15" s="13" customFormat="1" ht="13.5" thickBot="1" x14ac:dyDescent="0.25">
      <c r="B206" s="654">
        <v>928</v>
      </c>
      <c r="C206" s="655" t="s">
        <v>493</v>
      </c>
      <c r="D206" s="656" t="s">
        <v>15</v>
      </c>
      <c r="E206" s="657" t="str">
        <f>IFERROR(VLOOKUP(B206,Inputs!$B$69:$C$173,2,FALSE),"N/A")</f>
        <v>N/A</v>
      </c>
      <c r="F206" s="658" t="str">
        <f>IFERROR(VLOOKUP(B206,Inputs!$B$69:$D$173,3,FALSE),"N/A")</f>
        <v>N/A</v>
      </c>
      <c r="G206" s="1"/>
      <c r="H206" s="1"/>
      <c r="I206" s="1"/>
      <c r="J206" s="1"/>
      <c r="K206" s="1"/>
      <c r="L206" s="1"/>
      <c r="M206" s="1"/>
      <c r="N206" s="1"/>
      <c r="O206" s="1"/>
    </row>
    <row r="207" spans="2:15" s="13" customFormat="1" ht="39.75" customHeight="1" thickBot="1" x14ac:dyDescent="0.25">
      <c r="B207" s="1979" t="s">
        <v>1182</v>
      </c>
      <c r="C207" s="2278"/>
      <c r="D207" s="2278"/>
      <c r="E207" s="2278"/>
      <c r="F207" s="1040" t="s">
        <v>506</v>
      </c>
      <c r="G207" s="1"/>
      <c r="H207" s="1"/>
      <c r="I207" s="1"/>
      <c r="J207" s="1"/>
      <c r="K207" s="1"/>
      <c r="L207" s="1"/>
      <c r="M207" s="1"/>
      <c r="N207" s="1"/>
      <c r="O207" s="1"/>
    </row>
    <row r="208" spans="2:15" s="13" customFormat="1" ht="15.75" thickBot="1" x14ac:dyDescent="0.3">
      <c r="B208" s="86"/>
      <c r="C208" s="86"/>
      <c r="D208" s="86"/>
      <c r="E208" s="86"/>
      <c r="F208" s="86"/>
      <c r="G208" s="86"/>
      <c r="H208" s="43"/>
      <c r="I208" s="43"/>
      <c r="J208" s="43"/>
    </row>
    <row r="209" spans="2:11" s="13" customFormat="1" ht="15.75" customHeight="1" thickBot="1" x14ac:dyDescent="0.3">
      <c r="B209" s="1964" t="s">
        <v>586</v>
      </c>
      <c r="C209" s="2238"/>
      <c r="D209" s="2238"/>
      <c r="E209" s="2238"/>
      <c r="F209" s="2239"/>
      <c r="G209" s="642"/>
      <c r="H209" s="43"/>
      <c r="I209" s="43"/>
      <c r="J209" s="43"/>
    </row>
    <row r="210" spans="2:11" s="13" customFormat="1" ht="25.5" x14ac:dyDescent="0.25">
      <c r="B210" s="100" t="s">
        <v>529</v>
      </c>
      <c r="C210" s="101" t="s">
        <v>242</v>
      </c>
      <c r="D210" s="101" t="s">
        <v>530</v>
      </c>
      <c r="E210" s="216" t="s">
        <v>240</v>
      </c>
      <c r="F210" s="615" t="s">
        <v>241</v>
      </c>
      <c r="G210" s="86"/>
      <c r="H210" s="43"/>
      <c r="I210" s="43"/>
      <c r="J210" s="43"/>
    </row>
    <row r="211" spans="2:11" s="13" customFormat="1" ht="15.75" thickBot="1" x14ac:dyDescent="0.3">
      <c r="B211" s="1324">
        <f>'Adjust Inventory Year'!B93</f>
        <v>56768677</v>
      </c>
      <c r="C211" s="218">
        <f>'Adjust Inventory Year'!C93</f>
        <v>1049368</v>
      </c>
      <c r="D211" s="218">
        <f>B211-C211</f>
        <v>55719309</v>
      </c>
      <c r="E211" s="428">
        <f>'Adjust Inventory Year'!E93</f>
        <v>2856642</v>
      </c>
      <c r="F211" s="918">
        <f>E211/D211</f>
        <v>5.1268439097118021E-2</v>
      </c>
      <c r="G211" s="86"/>
      <c r="H211" s="86"/>
      <c r="I211" s="43"/>
      <c r="J211" s="43"/>
      <c r="K211" s="43"/>
    </row>
    <row r="212" spans="2:11" s="13" customFormat="1" ht="55.5" customHeight="1" thickBot="1" x14ac:dyDescent="0.3">
      <c r="B212" s="1996" t="s">
        <v>1183</v>
      </c>
      <c r="C212" s="2237"/>
      <c r="D212" s="2237"/>
      <c r="E212" s="1997"/>
      <c r="F212" s="641" t="s">
        <v>531</v>
      </c>
      <c r="G212" s="504"/>
      <c r="H212" s="86"/>
      <c r="I212" s="43"/>
      <c r="J212" s="43"/>
      <c r="K212" s="43"/>
    </row>
    <row r="213" spans="2:11" s="13" customFormat="1" ht="17.25" customHeight="1" thickBot="1" x14ac:dyDescent="0.3">
      <c r="B213" s="86"/>
      <c r="C213" s="86"/>
      <c r="D213" s="86"/>
      <c r="E213" s="86"/>
      <c r="F213" s="86"/>
      <c r="G213" s="86"/>
      <c r="H213" s="43"/>
      <c r="I213" s="43"/>
      <c r="J213" s="43"/>
    </row>
    <row r="214" spans="2:11" s="13" customFormat="1" ht="15.75" customHeight="1" thickBot="1" x14ac:dyDescent="0.3">
      <c r="B214" s="2012" t="s">
        <v>1145</v>
      </c>
      <c r="C214" s="2191"/>
      <c r="D214" s="2191"/>
      <c r="E214" s="2191"/>
      <c r="F214" s="2191"/>
      <c r="G214" s="2191"/>
      <c r="H214" s="2192"/>
      <c r="I214" s="43"/>
      <c r="J214" s="43"/>
    </row>
    <row r="215" spans="2:11" s="13" customFormat="1" ht="30.75" customHeight="1" x14ac:dyDescent="0.25">
      <c r="B215" s="175" t="s">
        <v>198</v>
      </c>
      <c r="C215" s="101" t="s">
        <v>55</v>
      </c>
      <c r="D215" s="101" t="s">
        <v>241</v>
      </c>
      <c r="E215" s="101" t="s">
        <v>56</v>
      </c>
      <c r="F215" s="216" t="s">
        <v>347</v>
      </c>
      <c r="G215" s="216" t="s">
        <v>348</v>
      </c>
      <c r="H215" s="615" t="s">
        <v>349</v>
      </c>
      <c r="I215" s="43"/>
    </row>
    <row r="216" spans="2:11" s="13" customFormat="1" ht="15" x14ac:dyDescent="0.25">
      <c r="B216" s="205" t="s">
        <v>196</v>
      </c>
      <c r="C216" s="206" t="e">
        <f>D15</f>
        <v>#DIV/0!</v>
      </c>
      <c r="D216" s="219">
        <f>$F$211</f>
        <v>5.1268439097118021E-2</v>
      </c>
      <c r="E216" s="497" t="e">
        <f>D216*C216</f>
        <v>#DIV/0!</v>
      </c>
      <c r="F216" s="919" t="e">
        <f>E216*'Emission Factors'!G120</f>
        <v>#DIV/0!</v>
      </c>
      <c r="G216" s="920" t="e">
        <f>E216*'Emission Factors'!H121</f>
        <v>#DIV/0!</v>
      </c>
      <c r="H216" s="921" t="e">
        <f>E216*'Emission Factors'!I121</f>
        <v>#DIV/0!</v>
      </c>
      <c r="I216" s="43"/>
      <c r="J216" s="43"/>
    </row>
    <row r="217" spans="2:11" s="13" customFormat="1" ht="15" x14ac:dyDescent="0.25">
      <c r="B217" s="207" t="s">
        <v>587</v>
      </c>
      <c r="C217" s="208">
        <f>D20</f>
        <v>0</v>
      </c>
      <c r="D217" s="220">
        <f t="shared" ref="D217" si="12">$F$211</f>
        <v>5.1268439097118021E-2</v>
      </c>
      <c r="E217" s="404">
        <f>D217*C217</f>
        <v>0</v>
      </c>
      <c r="F217" s="911" t="e">
        <f>E217*'Emission Factors'!G121</f>
        <v>#DIV/0!</v>
      </c>
      <c r="G217" s="912" t="e">
        <f>E217*'Emission Factors'!H121</f>
        <v>#DIV/0!</v>
      </c>
      <c r="H217" s="922" t="e">
        <f>E217*'Emission Factors'!I121</f>
        <v>#DIV/0!</v>
      </c>
      <c r="I217" s="43"/>
      <c r="J217" s="43"/>
    </row>
    <row r="218" spans="2:11" s="13" customFormat="1" ht="15.75" thickBot="1" x14ac:dyDescent="0.3">
      <c r="B218" s="824" t="s">
        <v>231</v>
      </c>
      <c r="C218" s="178" t="e">
        <f>SUM(C216:C217)</f>
        <v>#DIV/0!</v>
      </c>
      <c r="D218" s="367">
        <f>$F$211</f>
        <v>5.1268439097118021E-2</v>
      </c>
      <c r="E218" s="179" t="e">
        <f>D218*C218</f>
        <v>#DIV/0!</v>
      </c>
      <c r="F218" s="923" t="e">
        <f>SUM(F216:F217)</f>
        <v>#DIV/0!</v>
      </c>
      <c r="G218" s="923" t="e">
        <f t="shared" ref="G218:H218" si="13">SUM(G216:G217)</f>
        <v>#DIV/0!</v>
      </c>
      <c r="H218" s="406" t="e">
        <f t="shared" si="13"/>
        <v>#DIV/0!</v>
      </c>
      <c r="I218" s="43"/>
      <c r="J218" s="43"/>
    </row>
    <row r="219" spans="2:11" s="13" customFormat="1" ht="15.75" thickBot="1" x14ac:dyDescent="0.3">
      <c r="H219" s="43"/>
    </row>
    <row r="220" spans="2:11" s="13" customFormat="1" ht="14.25" customHeight="1" thickBot="1" x14ac:dyDescent="0.3">
      <c r="B220" s="1964" t="s">
        <v>1146</v>
      </c>
      <c r="C220" s="2238"/>
      <c r="D220" s="2238"/>
      <c r="E220" s="2238"/>
      <c r="F220" s="2238"/>
      <c r="G220" s="2239"/>
    </row>
    <row r="221" spans="2:11" s="13" customFormat="1" ht="56.25" customHeight="1" thickBot="1" x14ac:dyDescent="0.25">
      <c r="B221" s="312" t="s">
        <v>198</v>
      </c>
      <c r="C221" s="134" t="s">
        <v>259</v>
      </c>
      <c r="D221" s="134" t="s">
        <v>1501</v>
      </c>
      <c r="E221" s="134" t="s">
        <v>350</v>
      </c>
      <c r="F221" s="331" t="s">
        <v>351</v>
      </c>
      <c r="G221" s="135" t="s">
        <v>352</v>
      </c>
      <c r="H221" s="563"/>
      <c r="I221" s="54"/>
    </row>
    <row r="222" spans="2:11" s="13" customFormat="1" x14ac:dyDescent="0.2">
      <c r="B222" s="310" t="s">
        <v>196</v>
      </c>
      <c r="C222" s="311">
        <f>E15</f>
        <v>0</v>
      </c>
      <c r="D222" s="1319">
        <v>2.7E-2</v>
      </c>
      <c r="E222" s="180">
        <f>(C222/(1-D222)-C222)</f>
        <v>0</v>
      </c>
      <c r="F222" s="924">
        <f>E222*'Emission Factors'!$C$25</f>
        <v>0</v>
      </c>
      <c r="G222" s="925">
        <f>E222*'Emission Factors'!$C$26</f>
        <v>0</v>
      </c>
      <c r="H222" s="563"/>
      <c r="I222" s="54"/>
    </row>
    <row r="223" spans="2:11" s="13" customFormat="1" x14ac:dyDescent="0.2">
      <c r="B223" s="681" t="s">
        <v>587</v>
      </c>
      <c r="C223" s="125">
        <f>E20</f>
        <v>0</v>
      </c>
      <c r="D223" s="1320">
        <v>2.7E-2</v>
      </c>
      <c r="E223" s="182">
        <f>(C223/(1-D223)-C223)</f>
        <v>0</v>
      </c>
      <c r="F223" s="924">
        <f>E223*'Emission Factors'!$C$25</f>
        <v>0</v>
      </c>
      <c r="G223" s="926">
        <f>E223*'Emission Factors'!$C$26</f>
        <v>0</v>
      </c>
      <c r="H223" s="563"/>
      <c r="I223" s="54"/>
    </row>
    <row r="224" spans="2:11" s="13" customFormat="1" ht="13.5" thickBot="1" x14ac:dyDescent="0.25">
      <c r="B224" s="823" t="s">
        <v>231</v>
      </c>
      <c r="C224" s="178">
        <f>SUM(C222:C223)</f>
        <v>0</v>
      </c>
      <c r="D224" s="1321">
        <v>2.7E-2</v>
      </c>
      <c r="E224" s="179">
        <f>(C224/(1-D224)-C224)</f>
        <v>0</v>
      </c>
      <c r="F224" s="927">
        <f>E224*'Emission Factors'!$C$25</f>
        <v>0</v>
      </c>
      <c r="G224" s="406">
        <f>E224*'Emission Factors'!$C$26</f>
        <v>0</v>
      </c>
    </row>
    <row r="225" spans="2:9" s="13" customFormat="1" ht="34.5" customHeight="1" thickBot="1" x14ac:dyDescent="0.25">
      <c r="B225" s="1996" t="s">
        <v>1502</v>
      </c>
      <c r="C225" s="2237"/>
      <c r="D225" s="2237"/>
      <c r="E225" s="1997"/>
      <c r="F225" s="682" t="s">
        <v>260</v>
      </c>
      <c r="G225" s="503"/>
      <c r="H225" s="563"/>
      <c r="I225" s="564"/>
    </row>
    <row r="226" spans="2:9" s="13" customFormat="1" ht="13.5" thickBot="1" x14ac:dyDescent="0.25"/>
    <row r="227" spans="2:9" s="13" customFormat="1" ht="15.75" customHeight="1" thickBot="1" x14ac:dyDescent="0.3">
      <c r="B227" s="1964" t="s">
        <v>1114</v>
      </c>
      <c r="C227" s="2238"/>
      <c r="D227" s="2238"/>
      <c r="E227" s="2238"/>
      <c r="F227" s="2238"/>
      <c r="G227" s="2239"/>
    </row>
    <row r="228" spans="2:9" s="13" customFormat="1" ht="102.75" customHeight="1" thickBot="1" x14ac:dyDescent="0.25">
      <c r="B228" s="132" t="s">
        <v>339</v>
      </c>
      <c r="C228" s="133" t="s">
        <v>224</v>
      </c>
      <c r="D228" s="134" t="s">
        <v>1113</v>
      </c>
      <c r="E228" s="134" t="s">
        <v>389</v>
      </c>
      <c r="F228" s="331" t="s">
        <v>591</v>
      </c>
      <c r="G228" s="135" t="s">
        <v>590</v>
      </c>
    </row>
    <row r="229" spans="2:9" s="13" customFormat="1" x14ac:dyDescent="0.2">
      <c r="B229" s="310" t="s">
        <v>46</v>
      </c>
      <c r="C229" s="311" t="e">
        <f>'Transportation - On Road'!M43</f>
        <v>#DIV/0!</v>
      </c>
      <c r="D229" s="1322">
        <v>0.81</v>
      </c>
      <c r="E229" s="576">
        <f>1-D229</f>
        <v>0.18999999999999995</v>
      </c>
      <c r="F229" s="924" t="e">
        <f>C229*D229</f>
        <v>#DIV/0!</v>
      </c>
      <c r="G229" s="928" t="e">
        <f>C229*E229</f>
        <v>#DIV/0!</v>
      </c>
    </row>
    <row r="230" spans="2:9" s="13" customFormat="1" x14ac:dyDescent="0.2">
      <c r="B230" s="313" t="s">
        <v>51</v>
      </c>
      <c r="C230" s="314" t="e">
        <f>'Transportation - On Road'!M54</f>
        <v>#DIV/0!</v>
      </c>
      <c r="D230" s="1323">
        <v>0</v>
      </c>
      <c r="E230" s="577">
        <f>1-D230</f>
        <v>1</v>
      </c>
      <c r="F230" s="332" t="e">
        <f>C230*D230</f>
        <v>#DIV/0!</v>
      </c>
      <c r="G230" s="929" t="e">
        <f>C230*E230</f>
        <v>#DIV/0!</v>
      </c>
    </row>
    <row r="231" spans="2:9" s="13" customFormat="1" ht="13.5" thickBot="1" x14ac:dyDescent="0.25">
      <c r="B231" s="159" t="s">
        <v>283</v>
      </c>
      <c r="C231" s="203" t="e">
        <f>SUM(C229:C230)</f>
        <v>#DIV/0!</v>
      </c>
      <c r="D231" s="334"/>
      <c r="E231" s="334"/>
      <c r="F231" s="203" t="e">
        <f t="shared" ref="F231:G231" si="14">SUM(F229:F230)</f>
        <v>#DIV/0!</v>
      </c>
      <c r="G231" s="333" t="e">
        <f t="shared" si="14"/>
        <v>#DIV/0!</v>
      </c>
    </row>
    <row r="232" spans="2:9" s="13" customFormat="1" ht="42" customHeight="1" thickBot="1" x14ac:dyDescent="0.25">
      <c r="B232" s="1996" t="s">
        <v>1147</v>
      </c>
      <c r="C232" s="2237"/>
      <c r="D232" s="2237"/>
      <c r="E232" s="1997"/>
      <c r="F232" s="683" t="s">
        <v>282</v>
      </c>
      <c r="G232" s="503"/>
    </row>
    <row r="233" spans="2:9" s="13" customFormat="1" ht="27.75" customHeight="1" x14ac:dyDescent="0.2"/>
    <row r="234" spans="2:9" s="13" customFormat="1" x14ac:dyDescent="0.2"/>
    <row r="235" spans="2:9" s="13" customFormat="1" x14ac:dyDescent="0.2"/>
    <row r="236" spans="2:9" s="13" customFormat="1" x14ac:dyDescent="0.2"/>
    <row r="237" spans="2:9" s="13" customFormat="1" x14ac:dyDescent="0.2"/>
    <row r="238" spans="2:9" s="13" customFormat="1" x14ac:dyDescent="0.2"/>
    <row r="239" spans="2:9" s="13" customFormat="1" x14ac:dyDescent="0.2"/>
    <row r="240" spans="2:9" s="13" customFormat="1" x14ac:dyDescent="0.2"/>
    <row r="241" s="13" customFormat="1" x14ac:dyDescent="0.2"/>
    <row r="242" s="13" customFormat="1" x14ac:dyDescent="0.2"/>
    <row r="243" s="13" customFormat="1" x14ac:dyDescent="0.2"/>
    <row r="244" s="13" customFormat="1" x14ac:dyDescent="0.2"/>
    <row r="245" s="13" customFormat="1" x14ac:dyDescent="0.2"/>
    <row r="246" s="13" customFormat="1" x14ac:dyDescent="0.2"/>
    <row r="247" s="13" customFormat="1" x14ac:dyDescent="0.2"/>
    <row r="248" s="13" customFormat="1" x14ac:dyDescent="0.2"/>
    <row r="249" s="13" customFormat="1" x14ac:dyDescent="0.2"/>
    <row r="250" s="13" customFormat="1" x14ac:dyDescent="0.2"/>
    <row r="251" s="13" customFormat="1" x14ac:dyDescent="0.2"/>
    <row r="252" s="13" customFormat="1" x14ac:dyDescent="0.2"/>
    <row r="253" s="13" customFormat="1" x14ac:dyDescent="0.2"/>
    <row r="254" s="13" customFormat="1" x14ac:dyDescent="0.2"/>
    <row r="255" s="13" customFormat="1" x14ac:dyDescent="0.2"/>
    <row r="256" s="13" customFormat="1" x14ac:dyDescent="0.2"/>
    <row r="257" s="13" customFormat="1" x14ac:dyDescent="0.2"/>
    <row r="258" s="13" customFormat="1" x14ac:dyDescent="0.2"/>
    <row r="259" s="13" customFormat="1" x14ac:dyDescent="0.2"/>
    <row r="260" s="13" customFormat="1" x14ac:dyDescent="0.2"/>
    <row r="261" s="13" customFormat="1" x14ac:dyDescent="0.2"/>
    <row r="262" s="13" customFormat="1" x14ac:dyDescent="0.2"/>
    <row r="263" s="13" customFormat="1" x14ac:dyDescent="0.2"/>
    <row r="264" s="13" customFormat="1" x14ac:dyDescent="0.2"/>
    <row r="265" s="13" customFormat="1" x14ac:dyDescent="0.2"/>
    <row r="266" s="13" customFormat="1" x14ac:dyDescent="0.2"/>
    <row r="267" s="13" customFormat="1" x14ac:dyDescent="0.2"/>
    <row r="268" s="13" customFormat="1" x14ac:dyDescent="0.2"/>
    <row r="269" s="13" customFormat="1" x14ac:dyDescent="0.2"/>
    <row r="270" s="13" customFormat="1" x14ac:dyDescent="0.2"/>
    <row r="271" s="13" customFormat="1" x14ac:dyDescent="0.2"/>
    <row r="272" s="13" customFormat="1" x14ac:dyDescent="0.2"/>
    <row r="273" spans="7:7" s="13" customFormat="1" x14ac:dyDescent="0.2"/>
    <row r="274" spans="7:7" s="13" customFormat="1" x14ac:dyDescent="0.2"/>
    <row r="275" spans="7:7" s="13" customFormat="1" x14ac:dyDescent="0.2"/>
    <row r="276" spans="7:7" s="13" customFormat="1" x14ac:dyDescent="0.2"/>
    <row r="277" spans="7:7" s="13" customFormat="1" x14ac:dyDescent="0.2">
      <c r="G277" s="54"/>
    </row>
    <row r="278" spans="7:7" s="13" customFormat="1" x14ac:dyDescent="0.2"/>
    <row r="279" spans="7:7" s="13" customFormat="1" x14ac:dyDescent="0.2">
      <c r="G279" s="54"/>
    </row>
    <row r="280" spans="7:7" s="13" customFormat="1" x14ac:dyDescent="0.2"/>
    <row r="281" spans="7:7" s="13" customFormat="1" x14ac:dyDescent="0.2"/>
    <row r="282" spans="7:7" s="13" customFormat="1" x14ac:dyDescent="0.2"/>
    <row r="283" spans="7:7" s="13" customFormat="1" x14ac:dyDescent="0.2"/>
    <row r="284" spans="7:7" s="13" customFormat="1" x14ac:dyDescent="0.2"/>
    <row r="285" spans="7:7" s="13" customFormat="1" x14ac:dyDescent="0.2"/>
    <row r="286" spans="7:7" s="13" customFormat="1" x14ac:dyDescent="0.2"/>
    <row r="287" spans="7:7" s="13" customFormat="1" x14ac:dyDescent="0.2"/>
    <row r="288" spans="7:7" s="13" customFormat="1" x14ac:dyDescent="0.2"/>
    <row r="289" s="13" customFormat="1" x14ac:dyDescent="0.2"/>
    <row r="290" s="13" customFormat="1" x14ac:dyDescent="0.2"/>
    <row r="291" s="13" customFormat="1" x14ac:dyDescent="0.2"/>
    <row r="292" s="13" customFormat="1" x14ac:dyDescent="0.2"/>
    <row r="293" s="13" customFormat="1" x14ac:dyDescent="0.2"/>
    <row r="294" s="13" customFormat="1" x14ac:dyDescent="0.2"/>
    <row r="295" s="13" customFormat="1" x14ac:dyDescent="0.2"/>
    <row r="296" s="13" customFormat="1" x14ac:dyDescent="0.2"/>
    <row r="297" s="13" customFormat="1" x14ac:dyDescent="0.2"/>
    <row r="298" s="13" customFormat="1" x14ac:dyDescent="0.2"/>
    <row r="299" s="13" customFormat="1" x14ac:dyDescent="0.2"/>
    <row r="300" s="13" customFormat="1" x14ac:dyDescent="0.2"/>
    <row r="301" s="13" customFormat="1" x14ac:dyDescent="0.2"/>
    <row r="302" s="13" customFormat="1" x14ac:dyDescent="0.2"/>
    <row r="303" s="13" customFormat="1" x14ac:dyDescent="0.2"/>
    <row r="304" s="13" customFormat="1" x14ac:dyDescent="0.2"/>
    <row r="305" s="13" customFormat="1" x14ac:dyDescent="0.2"/>
    <row r="306" s="13" customFormat="1" x14ac:dyDescent="0.2"/>
    <row r="307" s="13" customFormat="1" x14ac:dyDescent="0.2"/>
    <row r="308" s="13" customFormat="1" x14ac:dyDescent="0.2"/>
    <row r="309" s="13" customFormat="1" x14ac:dyDescent="0.2"/>
    <row r="310" s="13" customFormat="1" x14ac:dyDescent="0.2"/>
    <row r="311" s="13" customFormat="1" x14ac:dyDescent="0.2"/>
    <row r="312" s="13" customFormat="1" x14ac:dyDescent="0.2"/>
    <row r="313" s="13" customFormat="1" x14ac:dyDescent="0.2"/>
    <row r="314" s="13" customFormat="1" x14ac:dyDescent="0.2"/>
    <row r="315" s="13" customFormat="1" x14ac:dyDescent="0.2"/>
    <row r="316" s="13" customFormat="1" x14ac:dyDescent="0.2"/>
    <row r="317" s="13" customFormat="1" x14ac:dyDescent="0.2"/>
    <row r="318" s="13" customFormat="1" x14ac:dyDescent="0.2"/>
    <row r="319" s="13" customFormat="1" x14ac:dyDescent="0.2"/>
    <row r="320" s="13" customFormat="1" x14ac:dyDescent="0.2"/>
    <row r="321" s="13" customFormat="1" x14ac:dyDescent="0.2"/>
    <row r="322" s="13" customFormat="1" x14ac:dyDescent="0.2"/>
    <row r="323" s="13" customFormat="1" x14ac:dyDescent="0.2"/>
    <row r="324" s="13" customFormat="1" x14ac:dyDescent="0.2"/>
    <row r="325" s="13" customFormat="1" x14ac:dyDescent="0.2"/>
    <row r="326" s="13" customFormat="1" x14ac:dyDescent="0.2"/>
    <row r="327" s="13" customFormat="1" x14ac:dyDescent="0.2"/>
    <row r="328" s="13" customFormat="1" x14ac:dyDescent="0.2"/>
    <row r="329" s="13" customFormat="1" x14ac:dyDescent="0.2"/>
    <row r="330" s="13" customFormat="1" x14ac:dyDescent="0.2"/>
    <row r="331" s="13" customFormat="1" x14ac:dyDescent="0.2"/>
    <row r="332" s="13" customFormat="1" x14ac:dyDescent="0.2"/>
    <row r="333" s="13" customFormat="1" x14ac:dyDescent="0.2"/>
    <row r="334" s="13" customFormat="1" x14ac:dyDescent="0.2"/>
    <row r="335" s="13" customFormat="1" x14ac:dyDescent="0.2"/>
    <row r="336" s="13" customFormat="1" ht="65.25" customHeight="1" x14ac:dyDescent="0.2"/>
    <row r="337" s="13" customFormat="1" ht="66.75" customHeight="1" x14ac:dyDescent="0.2"/>
    <row r="338" s="13" customFormat="1" x14ac:dyDescent="0.2"/>
    <row r="339" s="13" customFormat="1" x14ac:dyDescent="0.2"/>
    <row r="340" s="13" customFormat="1" x14ac:dyDescent="0.2"/>
    <row r="341" s="13" customFormat="1" x14ac:dyDescent="0.2"/>
    <row r="342" s="13" customFormat="1" x14ac:dyDescent="0.2"/>
    <row r="343" s="13" customFormat="1" x14ac:dyDescent="0.2"/>
    <row r="344" s="13" customFormat="1" x14ac:dyDescent="0.2"/>
    <row r="345" s="13" customFormat="1" x14ac:dyDescent="0.2"/>
    <row r="346" s="13" customFormat="1" x14ac:dyDescent="0.2"/>
    <row r="347" s="13" customFormat="1" x14ac:dyDescent="0.2"/>
    <row r="348" s="13" customFormat="1" x14ac:dyDescent="0.2"/>
    <row r="349" s="13" customFormat="1" x14ac:dyDescent="0.2"/>
    <row r="350" s="13" customFormat="1" x14ac:dyDescent="0.2"/>
    <row r="351" s="13" customFormat="1" x14ac:dyDescent="0.2"/>
    <row r="352" s="13" customFormat="1" x14ac:dyDescent="0.2"/>
    <row r="353" s="13" customFormat="1" x14ac:dyDescent="0.2"/>
    <row r="354" s="13" customFormat="1" x14ac:dyDescent="0.2"/>
    <row r="355" s="13" customFormat="1" x14ac:dyDescent="0.2"/>
    <row r="356" s="13" customFormat="1" x14ac:dyDescent="0.2"/>
    <row r="357" s="13" customFormat="1" x14ac:dyDescent="0.2"/>
    <row r="358" s="13" customFormat="1" x14ac:dyDescent="0.2"/>
    <row r="359" s="13" customFormat="1" x14ac:dyDescent="0.2"/>
    <row r="360" s="13" customFormat="1" x14ac:dyDescent="0.2"/>
    <row r="361" s="13" customFormat="1" x14ac:dyDescent="0.2"/>
    <row r="362" s="13" customFormat="1" x14ac:dyDescent="0.2"/>
    <row r="363" s="13" customFormat="1" x14ac:dyDescent="0.2"/>
    <row r="364" s="13" customFormat="1" x14ac:dyDescent="0.2"/>
    <row r="365" s="13" customFormat="1" x14ac:dyDescent="0.2"/>
    <row r="366" s="13" customFormat="1" x14ac:dyDescent="0.2"/>
    <row r="367" s="13" customFormat="1" x14ac:dyDescent="0.2"/>
    <row r="368" s="13" customFormat="1" x14ac:dyDescent="0.2"/>
    <row r="369" s="13" customFormat="1" x14ac:dyDescent="0.2"/>
    <row r="370" s="13" customFormat="1" x14ac:dyDescent="0.2"/>
    <row r="371" s="13" customFormat="1" x14ac:dyDescent="0.2"/>
    <row r="372" s="13" customFormat="1" x14ac:dyDescent="0.2"/>
    <row r="373" s="13" customFormat="1" x14ac:dyDescent="0.2"/>
    <row r="374" s="13" customFormat="1" x14ac:dyDescent="0.2"/>
    <row r="375" s="13" customFormat="1" x14ac:dyDescent="0.2"/>
    <row r="376" s="13" customFormat="1" x14ac:dyDescent="0.2"/>
    <row r="377" s="13" customFormat="1" x14ac:dyDescent="0.2"/>
    <row r="378" s="13" customFormat="1" x14ac:dyDescent="0.2"/>
    <row r="379" s="13" customFormat="1" x14ac:dyDescent="0.2"/>
    <row r="380" s="13" customFormat="1" x14ac:dyDescent="0.2"/>
    <row r="381" s="13" customFormat="1" x14ac:dyDescent="0.2"/>
    <row r="382" s="13" customFormat="1" x14ac:dyDescent="0.2"/>
    <row r="383" s="13" customFormat="1" x14ac:dyDescent="0.2"/>
    <row r="384" s="13" customFormat="1" x14ac:dyDescent="0.2"/>
    <row r="385" s="13" customFormat="1" x14ac:dyDescent="0.2"/>
    <row r="386" s="13" customFormat="1" x14ac:dyDescent="0.2"/>
    <row r="387" s="13" customFormat="1" x14ac:dyDescent="0.2"/>
    <row r="388" s="13" customFormat="1" x14ac:dyDescent="0.2"/>
    <row r="389" s="13" customFormat="1" x14ac:dyDescent="0.2"/>
    <row r="390" s="13" customFormat="1" x14ac:dyDescent="0.2"/>
    <row r="391" s="13" customFormat="1" x14ac:dyDescent="0.2"/>
    <row r="392" s="13" customFormat="1" x14ac:dyDescent="0.2"/>
    <row r="393" s="13" customFormat="1" x14ac:dyDescent="0.2"/>
    <row r="394" s="13" customFormat="1" x14ac:dyDescent="0.2"/>
    <row r="395" s="13" customFormat="1" x14ac:dyDescent="0.2"/>
    <row r="396" s="13" customFormat="1" x14ac:dyDescent="0.2"/>
    <row r="397" s="13" customFormat="1" x14ac:dyDescent="0.2"/>
    <row r="398" s="13" customFormat="1" x14ac:dyDescent="0.2"/>
    <row r="399" s="13" customFormat="1" x14ac:dyDescent="0.2"/>
    <row r="400" s="13" customFormat="1" x14ac:dyDescent="0.2"/>
    <row r="401" s="13" customFormat="1" x14ac:dyDescent="0.2"/>
    <row r="402" s="13" customFormat="1" x14ac:dyDescent="0.2"/>
    <row r="403" s="13" customFormat="1" x14ac:dyDescent="0.2"/>
    <row r="404" s="13" customFormat="1" x14ac:dyDescent="0.2"/>
    <row r="405" s="13" customFormat="1" x14ac:dyDescent="0.2"/>
    <row r="406" s="13" customFormat="1" x14ac:dyDescent="0.2"/>
    <row r="407" s="13" customFormat="1" x14ac:dyDescent="0.2"/>
    <row r="408" s="13" customFormat="1" x14ac:dyDescent="0.2"/>
    <row r="409" s="13" customFormat="1" x14ac:dyDescent="0.2"/>
    <row r="410" s="13" customFormat="1" x14ac:dyDescent="0.2"/>
    <row r="411" s="13" customFormat="1" x14ac:dyDescent="0.2"/>
    <row r="412" s="13" customFormat="1" x14ac:dyDescent="0.2"/>
    <row r="413" s="13" customFormat="1" x14ac:dyDescent="0.2"/>
    <row r="414" s="13" customFormat="1" x14ac:dyDescent="0.2"/>
    <row r="415" s="13" customFormat="1" x14ac:dyDescent="0.2"/>
    <row r="416" s="13" customFormat="1" x14ac:dyDescent="0.2"/>
    <row r="417" s="13" customFormat="1" x14ac:dyDescent="0.2"/>
    <row r="418" s="13" customFormat="1" x14ac:dyDescent="0.2"/>
    <row r="419" s="13" customFormat="1" x14ac:dyDescent="0.2"/>
    <row r="420" s="13" customFormat="1" x14ac:dyDescent="0.2"/>
    <row r="421" s="13" customFormat="1" x14ac:dyDescent="0.2"/>
    <row r="422" s="13" customFormat="1" x14ac:dyDescent="0.2"/>
    <row r="423" s="13" customFormat="1" x14ac:dyDescent="0.2"/>
    <row r="424" s="13" customFormat="1" x14ac:dyDescent="0.2"/>
    <row r="425" s="13" customFormat="1" x14ac:dyDescent="0.2"/>
    <row r="426" s="13" customFormat="1" x14ac:dyDescent="0.2"/>
    <row r="427" s="13" customFormat="1" x14ac:dyDescent="0.2"/>
    <row r="428" s="13" customFormat="1" x14ac:dyDescent="0.2"/>
    <row r="429" s="13" customFormat="1" x14ac:dyDescent="0.2"/>
    <row r="430" s="13" customFormat="1" x14ac:dyDescent="0.2"/>
    <row r="431" s="13" customFormat="1" x14ac:dyDescent="0.2"/>
    <row r="432" s="13" customFormat="1" x14ac:dyDescent="0.2"/>
    <row r="433" s="13" customFormat="1" x14ac:dyDescent="0.2"/>
    <row r="434" s="13" customFormat="1" x14ac:dyDescent="0.2"/>
    <row r="435" s="13" customFormat="1" x14ac:dyDescent="0.2"/>
    <row r="436" s="13" customFormat="1" x14ac:dyDescent="0.2"/>
    <row r="437" s="13" customFormat="1" x14ac:dyDescent="0.2"/>
    <row r="438" s="13" customFormat="1" x14ac:dyDescent="0.2"/>
    <row r="439" s="13" customFormat="1" x14ac:dyDescent="0.2"/>
    <row r="440" s="13" customFormat="1" x14ac:dyDescent="0.2"/>
    <row r="441" s="13" customFormat="1" x14ac:dyDescent="0.2"/>
    <row r="442" s="13" customFormat="1" x14ac:dyDescent="0.2"/>
    <row r="443" s="13" customFormat="1" x14ac:dyDescent="0.2"/>
    <row r="444" s="13" customFormat="1" x14ac:dyDescent="0.2"/>
    <row r="445" s="13" customFormat="1" x14ac:dyDescent="0.2"/>
    <row r="446" s="13" customFormat="1" x14ac:dyDescent="0.2"/>
    <row r="447" s="13" customFormat="1" x14ac:dyDescent="0.2"/>
    <row r="448" s="13" customFormat="1" x14ac:dyDescent="0.2"/>
    <row r="449" s="13" customFormat="1" x14ac:dyDescent="0.2"/>
    <row r="450" s="13" customFormat="1" x14ac:dyDescent="0.2"/>
    <row r="451" s="13" customFormat="1" x14ac:dyDescent="0.2"/>
    <row r="452" s="13" customFormat="1" x14ac:dyDescent="0.2"/>
    <row r="453" s="13" customFormat="1" x14ac:dyDescent="0.2"/>
    <row r="454" s="13" customFormat="1" x14ac:dyDescent="0.2"/>
    <row r="455" s="13" customFormat="1" x14ac:dyDescent="0.2"/>
    <row r="456" s="13" customFormat="1" x14ac:dyDescent="0.2"/>
    <row r="457" s="13" customFormat="1" x14ac:dyDescent="0.2"/>
    <row r="458" s="13" customFormat="1" x14ac:dyDescent="0.2"/>
    <row r="459" s="13" customFormat="1" x14ac:dyDescent="0.2"/>
    <row r="460" s="13" customFormat="1" x14ac:dyDescent="0.2"/>
    <row r="461" s="13" customFormat="1" x14ac:dyDescent="0.2"/>
    <row r="462" s="13" customFormat="1" x14ac:dyDescent="0.2"/>
    <row r="463" s="13" customFormat="1" x14ac:dyDescent="0.2"/>
    <row r="464" s="13" customFormat="1" x14ac:dyDescent="0.2"/>
    <row r="465" s="13" customFormat="1" x14ac:dyDescent="0.2"/>
    <row r="466" s="13" customFormat="1" x14ac:dyDescent="0.2"/>
    <row r="467" s="13" customFormat="1" x14ac:dyDescent="0.2"/>
    <row r="468" s="13" customFormat="1" x14ac:dyDescent="0.2"/>
    <row r="469" s="13" customFormat="1" x14ac:dyDescent="0.2"/>
    <row r="470" s="13" customFormat="1" x14ac:dyDescent="0.2"/>
    <row r="471" s="13" customFormat="1" x14ac:dyDescent="0.2"/>
    <row r="472" s="13" customFormat="1" x14ac:dyDescent="0.2"/>
    <row r="473" s="13" customFormat="1" x14ac:dyDescent="0.2"/>
    <row r="474" s="13" customFormat="1" x14ac:dyDescent="0.2"/>
    <row r="475" s="13" customFormat="1" x14ac:dyDescent="0.2"/>
    <row r="476" s="13" customFormat="1" x14ac:dyDescent="0.2"/>
    <row r="477" s="13" customFormat="1" x14ac:dyDescent="0.2"/>
    <row r="478" s="13" customFormat="1" x14ac:dyDescent="0.2"/>
    <row r="479" s="13" customFormat="1" x14ac:dyDescent="0.2"/>
    <row r="480" s="13" customFormat="1" x14ac:dyDescent="0.2"/>
    <row r="481" s="13" customFormat="1" x14ac:dyDescent="0.2"/>
    <row r="482" s="13" customFormat="1" x14ac:dyDescent="0.2"/>
    <row r="483" s="13" customFormat="1" x14ac:dyDescent="0.2"/>
    <row r="484" s="13" customFormat="1" x14ac:dyDescent="0.2"/>
    <row r="485" s="13" customFormat="1" x14ac:dyDescent="0.2"/>
    <row r="486" s="13" customFormat="1" x14ac:dyDescent="0.2"/>
    <row r="487" s="13" customFormat="1" x14ac:dyDescent="0.2"/>
    <row r="488" s="13" customFormat="1" x14ac:dyDescent="0.2"/>
    <row r="489" s="13" customFormat="1" x14ac:dyDescent="0.2"/>
    <row r="490" s="13" customFormat="1" x14ac:dyDescent="0.2"/>
    <row r="491" s="13" customFormat="1" x14ac:dyDescent="0.2"/>
    <row r="492" s="13" customFormat="1" x14ac:dyDescent="0.2"/>
    <row r="493" s="13" customFormat="1" x14ac:dyDescent="0.2"/>
    <row r="494" s="13" customFormat="1" x14ac:dyDescent="0.2"/>
    <row r="495" s="13" customFormat="1" x14ac:dyDescent="0.2"/>
    <row r="496" s="13" customFormat="1" x14ac:dyDescent="0.2"/>
    <row r="497" s="13" customFormat="1" x14ac:dyDescent="0.2"/>
    <row r="498" s="13" customFormat="1" x14ac:dyDescent="0.2"/>
    <row r="499" s="13" customFormat="1" x14ac:dyDescent="0.2"/>
    <row r="500" s="13" customFormat="1" x14ac:dyDescent="0.2"/>
    <row r="501" s="13" customFormat="1" x14ac:dyDescent="0.2"/>
    <row r="502" s="13" customFormat="1" x14ac:dyDescent="0.2"/>
    <row r="503" s="13" customFormat="1" x14ac:dyDescent="0.2"/>
    <row r="504" s="13" customFormat="1" x14ac:dyDescent="0.2"/>
    <row r="505" s="13" customFormat="1" x14ac:dyDescent="0.2"/>
    <row r="506" s="13" customFormat="1" x14ac:dyDescent="0.2"/>
    <row r="507" s="13" customFormat="1" x14ac:dyDescent="0.2"/>
    <row r="508" s="13" customFormat="1" x14ac:dyDescent="0.2"/>
    <row r="509" s="13" customFormat="1" x14ac:dyDescent="0.2"/>
    <row r="510" s="13" customFormat="1" x14ac:dyDescent="0.2"/>
    <row r="511" s="13" customFormat="1" x14ac:dyDescent="0.2"/>
    <row r="512" s="13" customFormat="1" x14ac:dyDescent="0.2"/>
    <row r="513" s="13" customFormat="1" x14ac:dyDescent="0.2"/>
    <row r="514" s="13" customFormat="1" x14ac:dyDescent="0.2"/>
    <row r="515" s="13" customFormat="1" x14ac:dyDescent="0.2"/>
    <row r="516" s="13" customFormat="1" x14ac:dyDescent="0.2"/>
    <row r="517" s="13" customFormat="1" x14ac:dyDescent="0.2"/>
    <row r="518" s="13" customFormat="1" x14ac:dyDescent="0.2"/>
    <row r="519" s="13" customFormat="1" x14ac:dyDescent="0.2"/>
    <row r="520" s="13" customFormat="1" x14ac:dyDescent="0.2"/>
    <row r="521" s="13" customFormat="1" x14ac:dyDescent="0.2"/>
    <row r="522" s="13" customFormat="1" x14ac:dyDescent="0.2"/>
    <row r="523" s="13" customFormat="1" x14ac:dyDescent="0.2"/>
    <row r="524" s="13" customFormat="1" x14ac:dyDescent="0.2"/>
    <row r="525" s="13" customFormat="1" x14ac:dyDescent="0.2"/>
    <row r="526" s="13" customFormat="1" x14ac:dyDescent="0.2"/>
    <row r="527" s="13" customFormat="1" x14ac:dyDescent="0.2"/>
    <row r="528" s="13" customFormat="1" x14ac:dyDescent="0.2"/>
    <row r="529" s="13" customFormat="1" x14ac:dyDescent="0.2"/>
    <row r="530" s="13" customFormat="1" x14ac:dyDescent="0.2"/>
    <row r="531" s="13" customFormat="1" x14ac:dyDescent="0.2"/>
    <row r="532" s="13" customFormat="1" x14ac:dyDescent="0.2"/>
    <row r="533" s="13" customFormat="1" x14ac:dyDescent="0.2"/>
    <row r="534" s="13" customFormat="1" x14ac:dyDescent="0.2"/>
    <row r="535" s="13" customFormat="1" x14ac:dyDescent="0.2"/>
    <row r="536" s="13" customFormat="1" x14ac:dyDescent="0.2"/>
    <row r="537" s="13" customFormat="1" x14ac:dyDescent="0.2"/>
    <row r="538" s="13" customFormat="1" x14ac:dyDescent="0.2"/>
    <row r="539" s="13" customFormat="1" x14ac:dyDescent="0.2"/>
    <row r="540" s="13" customFormat="1" x14ac:dyDescent="0.2"/>
    <row r="541" s="13" customFormat="1" x14ac:dyDescent="0.2"/>
    <row r="542" s="13" customFormat="1" x14ac:dyDescent="0.2"/>
    <row r="543" s="13" customFormat="1" x14ac:dyDescent="0.2"/>
    <row r="544" s="13" customFormat="1" x14ac:dyDescent="0.2"/>
    <row r="545" s="13" customFormat="1" x14ac:dyDescent="0.2"/>
    <row r="546" s="13" customFormat="1" x14ac:dyDescent="0.2"/>
    <row r="547" s="13" customFormat="1" x14ac:dyDescent="0.2"/>
    <row r="548" s="13" customFormat="1" x14ac:dyDescent="0.2"/>
    <row r="549" s="13" customFormat="1" x14ac:dyDescent="0.2"/>
    <row r="550" s="13" customFormat="1" x14ac:dyDescent="0.2"/>
    <row r="551" s="13" customFormat="1" x14ac:dyDescent="0.2"/>
    <row r="552" s="13" customFormat="1" x14ac:dyDescent="0.2"/>
    <row r="553" s="13" customFormat="1" x14ac:dyDescent="0.2"/>
    <row r="554" s="13" customFormat="1" x14ac:dyDescent="0.2"/>
    <row r="555" s="13" customFormat="1" x14ac:dyDescent="0.2"/>
    <row r="556" s="13" customFormat="1" x14ac:dyDescent="0.2"/>
    <row r="557" s="13" customFormat="1" x14ac:dyDescent="0.2"/>
    <row r="558" s="13" customFormat="1" x14ac:dyDescent="0.2"/>
    <row r="559" s="13" customFormat="1" x14ac:dyDescent="0.2"/>
    <row r="560" s="13" customFormat="1" x14ac:dyDescent="0.2"/>
    <row r="561" s="13" customFormat="1" x14ac:dyDescent="0.2"/>
    <row r="562" s="13" customFormat="1" x14ac:dyDescent="0.2"/>
    <row r="563" s="13" customFormat="1" x14ac:dyDescent="0.2"/>
    <row r="564" s="13" customFormat="1" x14ac:dyDescent="0.2"/>
    <row r="565" s="13" customFormat="1" x14ac:dyDescent="0.2"/>
    <row r="566" s="13" customFormat="1" x14ac:dyDescent="0.2"/>
    <row r="567" s="13" customFormat="1" x14ac:dyDescent="0.2"/>
    <row r="568" s="13" customFormat="1" x14ac:dyDescent="0.2"/>
    <row r="569" s="13" customFormat="1" x14ac:dyDescent="0.2"/>
    <row r="570" s="13" customFormat="1" x14ac:dyDescent="0.2"/>
    <row r="571" s="13" customFormat="1" x14ac:dyDescent="0.2"/>
    <row r="572" s="13" customFormat="1" x14ac:dyDescent="0.2"/>
    <row r="573" s="13" customFormat="1" x14ac:dyDescent="0.2"/>
    <row r="574" s="13" customFormat="1" x14ac:dyDescent="0.2"/>
    <row r="575" s="13" customFormat="1" x14ac:dyDescent="0.2"/>
    <row r="576" s="13" customFormat="1" x14ac:dyDescent="0.2"/>
    <row r="577" s="13" customFormat="1" x14ac:dyDescent="0.2"/>
    <row r="578" s="13" customFormat="1" x14ac:dyDescent="0.2"/>
    <row r="579" s="13" customFormat="1" x14ac:dyDescent="0.2"/>
    <row r="580" s="13" customFormat="1" x14ac:dyDescent="0.2"/>
    <row r="581" s="13" customFormat="1" x14ac:dyDescent="0.2"/>
    <row r="582" s="13" customFormat="1" x14ac:dyDescent="0.2"/>
    <row r="583" s="13" customFormat="1" x14ac:dyDescent="0.2"/>
    <row r="584" s="13" customFormat="1" x14ac:dyDescent="0.2"/>
    <row r="585" s="13" customFormat="1" x14ac:dyDescent="0.2"/>
    <row r="586" s="13" customFormat="1" x14ac:dyDescent="0.2"/>
    <row r="587" s="13" customFormat="1" x14ac:dyDescent="0.2"/>
    <row r="588" s="13" customFormat="1" x14ac:dyDescent="0.2"/>
    <row r="589" s="13" customFormat="1" x14ac:dyDescent="0.2"/>
    <row r="590" s="13" customFormat="1" x14ac:dyDescent="0.2"/>
    <row r="591" s="13" customFormat="1" x14ac:dyDescent="0.2"/>
    <row r="592" s="13" customFormat="1" x14ac:dyDescent="0.2"/>
    <row r="593" s="13" customFormat="1" x14ac:dyDescent="0.2"/>
    <row r="594" s="13" customFormat="1" x14ac:dyDescent="0.2"/>
    <row r="595" s="13" customFormat="1" x14ac:dyDescent="0.2"/>
    <row r="596" s="13" customFormat="1" x14ac:dyDescent="0.2"/>
    <row r="597" s="13" customFormat="1" x14ac:dyDescent="0.2"/>
    <row r="598" s="13" customFormat="1" x14ac:dyDescent="0.2"/>
  </sheetData>
  <mergeCells count="38">
    <mergeCell ref="B28:H28"/>
    <mergeCell ref="B25:I25"/>
    <mergeCell ref="B212:E212"/>
    <mergeCell ref="B220:G220"/>
    <mergeCell ref="B49:E49"/>
    <mergeCell ref="B50:E50"/>
    <mergeCell ref="B51:E51"/>
    <mergeCell ref="B38:N38"/>
    <mergeCell ref="B207:E207"/>
    <mergeCell ref="B101:E101"/>
    <mergeCell ref="B102:E102"/>
    <mergeCell ref="B103:E103"/>
    <mergeCell ref="B104:E104"/>
    <mergeCell ref="B77:M77"/>
    <mergeCell ref="B30:H30"/>
    <mergeCell ref="B21:C21"/>
    <mergeCell ref="B9:I9"/>
    <mergeCell ref="B22:E22"/>
    <mergeCell ref="B23:E23"/>
    <mergeCell ref="B2:E2"/>
    <mergeCell ref="B7:E7"/>
    <mergeCell ref="B6:E6"/>
    <mergeCell ref="B11:B15"/>
    <mergeCell ref="B16:B20"/>
    <mergeCell ref="C3:E3"/>
    <mergeCell ref="C4:E4"/>
    <mergeCell ref="B232:E232"/>
    <mergeCell ref="B227:G227"/>
    <mergeCell ref="B209:F209"/>
    <mergeCell ref="B53:E53"/>
    <mergeCell ref="B52:E52"/>
    <mergeCell ref="B55:O55"/>
    <mergeCell ref="B106:F106"/>
    <mergeCell ref="B73:E73"/>
    <mergeCell ref="B74:E74"/>
    <mergeCell ref="B75:E75"/>
    <mergeCell ref="B225:E225"/>
    <mergeCell ref="B214:H214"/>
  </mergeCells>
  <phoneticPr fontId="0" type="noConversion"/>
  <hyperlinks>
    <hyperlink ref="F49" r:id="rId1" xr:uid="{00000000-0004-0000-0900-000000000000}"/>
    <hyperlink ref="F51" r:id="rId2" location="fuel-consumption" xr:uid="{00000000-0004-0000-0900-000001000000}"/>
    <hyperlink ref="F50" r:id="rId3" xr:uid="{00000000-0004-0000-0900-000002000000}"/>
    <hyperlink ref="F53" r:id="rId4" xr:uid="{00000000-0004-0000-0900-000003000000}"/>
    <hyperlink ref="F52" r:id="rId5" xr:uid="{00000000-0004-0000-0900-000004000000}"/>
    <hyperlink ref="F73" r:id="rId6" xr:uid="{00000000-0004-0000-0900-000005000000}"/>
    <hyperlink ref="F74" r:id="rId7" xr:uid="{00000000-0004-0000-0900-000006000000}"/>
    <hyperlink ref="F75" r:id="rId8" xr:uid="{00000000-0004-0000-0900-000007000000}"/>
    <hyperlink ref="F232" r:id="rId9" xr:uid="{00000000-0004-0000-0900-000008000000}"/>
    <hyperlink ref="F225" r:id="rId10" xr:uid="{00000000-0004-0000-0900-000009000000}"/>
    <hyperlink ref="F212" r:id="rId11" xr:uid="{00000000-0004-0000-0900-00000A000000}"/>
    <hyperlink ref="F207" r:id="rId12" xr:uid="{00000000-0004-0000-0900-00000B000000}"/>
    <hyperlink ref="F101" r:id="rId13" xr:uid="{00000000-0004-0000-0900-00000C000000}"/>
    <hyperlink ref="F102" r:id="rId14" location="r6" xr:uid="{00000000-0004-0000-0900-00000D000000}"/>
    <hyperlink ref="F103" r:id="rId15" location="r6" xr:uid="{00000000-0004-0000-0900-00000E000000}"/>
    <hyperlink ref="F104" r:id="rId16" location="r6" xr:uid="{00000000-0004-0000-0900-00000F000000}"/>
  </hyperlinks>
  <pageMargins left="0.75" right="0.75" top="1" bottom="1" header="0.5" footer="0.5"/>
  <pageSetup orientation="landscape" r:id="rId17"/>
  <headerFooter alignWithMargins="0"/>
  <ignoredErrors>
    <ignoredError sqref="E17 F44" formula="1"/>
    <ignoredError sqref="H42:H43" formulaRange="1"/>
  </ignoredErrors>
  <drawing r:id="rId18"/>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39997558519241921"/>
  </sheetPr>
  <dimension ref="A1:AD65"/>
  <sheetViews>
    <sheetView showGridLines="0" zoomScaleNormal="100" workbookViewId="0">
      <selection activeCell="K12" sqref="K12"/>
    </sheetView>
  </sheetViews>
  <sheetFormatPr defaultRowHeight="12.75" x14ac:dyDescent="0.2"/>
  <cols>
    <col min="1" max="1" width="2.7109375" customWidth="1"/>
    <col min="2" max="2" width="30.7109375" bestFit="1" customWidth="1"/>
    <col min="3" max="4" width="15.140625" customWidth="1"/>
    <col min="5" max="5" width="15.140625" style="6" customWidth="1"/>
    <col min="6" max="6" width="15.140625" style="28" customWidth="1"/>
    <col min="7" max="7" width="17.5703125" style="28" customWidth="1"/>
    <col min="8" max="8" width="15.28515625" style="28" customWidth="1"/>
    <col min="9" max="10" width="17.85546875" style="28" customWidth="1"/>
    <col min="11" max="11" width="18.85546875" style="28" customWidth="1"/>
    <col min="12" max="14" width="17.85546875" style="6" customWidth="1"/>
    <col min="15" max="17" width="10" style="6" bestFit="1" customWidth="1"/>
    <col min="18" max="18" width="9.42578125" style="6" bestFit="1" customWidth="1"/>
    <col min="19" max="19" width="10" style="6" bestFit="1" customWidth="1"/>
    <col min="20" max="20" width="9.42578125" bestFit="1" customWidth="1"/>
    <col min="21" max="21" width="12" bestFit="1" customWidth="1"/>
    <col min="22" max="25" width="9.42578125" bestFit="1" customWidth="1"/>
  </cols>
  <sheetData>
    <row r="1" spans="1:30" s="6" customFormat="1" ht="13.5" thickBot="1" x14ac:dyDescent="0.25">
      <c r="A1" s="28"/>
      <c r="B1" s="2283"/>
      <c r="C1" s="2283"/>
      <c r="D1" s="2283"/>
      <c r="E1" s="2283"/>
      <c r="F1" s="2283"/>
      <c r="G1" s="2283"/>
      <c r="H1" s="2283"/>
      <c r="I1" s="2283"/>
      <c r="J1" s="2283"/>
      <c r="K1" s="2283"/>
      <c r="L1" s="2283"/>
      <c r="M1" s="28"/>
    </row>
    <row r="2" spans="1:30" s="28" customFormat="1" ht="24" thickBot="1" x14ac:dyDescent="0.25">
      <c r="B2" s="2284" t="s">
        <v>1444</v>
      </c>
      <c r="C2" s="2285"/>
      <c r="D2" s="2285"/>
      <c r="E2" s="2285"/>
      <c r="F2" s="2285"/>
      <c r="G2" s="2286"/>
      <c r="H2" s="112"/>
      <c r="I2" s="112"/>
      <c r="J2" s="112"/>
      <c r="K2" s="112"/>
      <c r="L2" s="112"/>
    </row>
    <row r="3" spans="1:30" s="28" customFormat="1" ht="12.75" customHeight="1" x14ac:dyDescent="0.2">
      <c r="B3" s="224" t="s">
        <v>247</v>
      </c>
      <c r="C3" s="2077" t="s">
        <v>195</v>
      </c>
      <c r="D3" s="2078"/>
      <c r="E3" s="2078"/>
      <c r="F3" s="2078"/>
      <c r="G3" s="2079"/>
      <c r="H3" s="289"/>
      <c r="I3" s="289"/>
      <c r="J3" s="289"/>
      <c r="K3" s="289"/>
      <c r="L3" s="289"/>
      <c r="M3" s="54"/>
      <c r="N3" s="54"/>
      <c r="O3" s="54"/>
    </row>
    <row r="4" spans="1:30" s="28" customFormat="1" ht="13.5" customHeight="1" thickBot="1" x14ac:dyDescent="0.25">
      <c r="B4" s="225" t="s">
        <v>251</v>
      </c>
      <c r="C4" s="2287" t="s">
        <v>249</v>
      </c>
      <c r="D4" s="2288"/>
      <c r="E4" s="2288"/>
      <c r="F4" s="2288"/>
      <c r="G4" s="2289"/>
      <c r="H4" s="289"/>
      <c r="I4" s="289"/>
      <c r="J4" s="289"/>
      <c r="K4" s="289"/>
      <c r="L4" s="289"/>
      <c r="M4" s="54"/>
      <c r="N4" s="54"/>
      <c r="O4" s="54"/>
    </row>
    <row r="5" spans="1:30" s="28" customFormat="1" ht="13.5" thickBot="1" x14ac:dyDescent="0.25">
      <c r="B5" s="289"/>
      <c r="C5" s="289"/>
      <c r="D5" s="289"/>
      <c r="E5" s="289"/>
      <c r="F5" s="289"/>
      <c r="G5" s="289"/>
      <c r="H5" s="289"/>
      <c r="I5" s="289"/>
      <c r="J5" s="289"/>
      <c r="K5" s="289"/>
      <c r="L5" s="289"/>
      <c r="M5" s="54"/>
      <c r="N5" s="54"/>
      <c r="O5" s="54"/>
    </row>
    <row r="6" spans="1:30" s="28" customFormat="1" ht="15" customHeight="1" thickBot="1" x14ac:dyDescent="0.25">
      <c r="B6" s="2293" t="s">
        <v>91</v>
      </c>
      <c r="C6" s="2294"/>
      <c r="D6" s="2294"/>
      <c r="E6" s="2294"/>
      <c r="F6" s="2294"/>
      <c r="G6" s="2295"/>
      <c r="H6" s="289"/>
      <c r="I6" s="289"/>
      <c r="J6" s="289"/>
      <c r="K6" s="289"/>
      <c r="L6" s="289"/>
      <c r="M6" s="54"/>
      <c r="N6" s="54"/>
      <c r="O6" s="54"/>
    </row>
    <row r="7" spans="1:30" s="28" customFormat="1" ht="61.5" customHeight="1" thickBot="1" x14ac:dyDescent="0.25">
      <c r="B7" s="2290" t="s">
        <v>1184</v>
      </c>
      <c r="C7" s="2291"/>
      <c r="D7" s="2291"/>
      <c r="E7" s="2291"/>
      <c r="F7" s="2291"/>
      <c r="G7" s="2292"/>
      <c r="H7" s="289"/>
      <c r="I7" s="289"/>
      <c r="J7" s="289"/>
      <c r="K7" s="289"/>
      <c r="L7" s="289"/>
      <c r="M7" s="54"/>
      <c r="N7" s="54"/>
      <c r="O7" s="54"/>
    </row>
    <row r="8" spans="1:30" s="28" customFormat="1" ht="13.5" thickBot="1" x14ac:dyDescent="0.25">
      <c r="A8" s="63"/>
      <c r="B8" s="54"/>
      <c r="C8" s="54"/>
      <c r="D8" s="54"/>
      <c r="E8" s="304"/>
      <c r="F8" s="304"/>
      <c r="G8" s="304"/>
      <c r="H8" s="304"/>
      <c r="I8" s="304"/>
      <c r="J8" s="304"/>
      <c r="K8" s="304"/>
      <c r="L8" s="304"/>
      <c r="M8" s="305"/>
      <c r="N8" s="305"/>
      <c r="O8" s="305"/>
      <c r="P8" s="55"/>
    </row>
    <row r="9" spans="1:30" s="6" customFormat="1" ht="18.75" customHeight="1" thickBot="1" x14ac:dyDescent="0.25">
      <c r="B9" s="2012" t="s">
        <v>609</v>
      </c>
      <c r="C9" s="2191"/>
      <c r="D9" s="2191"/>
      <c r="E9" s="2191"/>
      <c r="F9" s="2191"/>
      <c r="G9" s="2191"/>
      <c r="H9" s="2191"/>
      <c r="I9" s="2191"/>
      <c r="J9" s="2191"/>
      <c r="K9" s="2191"/>
      <c r="L9" s="2191"/>
      <c r="M9" s="2191"/>
      <c r="N9" s="2191"/>
      <c r="O9" s="2192"/>
      <c r="P9" s="58"/>
    </row>
    <row r="10" spans="1:30" s="6" customFormat="1" ht="25.5" customHeight="1" x14ac:dyDescent="0.2">
      <c r="B10" s="1886"/>
      <c r="C10" s="2305" t="s">
        <v>593</v>
      </c>
      <c r="D10" s="2306"/>
      <c r="E10" s="2306"/>
      <c r="F10" s="2306"/>
      <c r="G10" s="2306"/>
      <c r="H10" s="2307"/>
      <c r="I10" s="2305" t="s">
        <v>594</v>
      </c>
      <c r="J10" s="2306"/>
      <c r="K10" s="2306"/>
      <c r="L10" s="2307"/>
      <c r="M10" s="2305" t="s">
        <v>595</v>
      </c>
      <c r="N10" s="2306"/>
      <c r="O10" s="2306"/>
      <c r="P10" s="14"/>
      <c r="Q10" s="14"/>
      <c r="R10" s="14"/>
    </row>
    <row r="11" spans="1:30" s="6" customFormat="1" ht="57" customHeight="1" x14ac:dyDescent="0.2">
      <c r="B11" s="175" t="s">
        <v>1593</v>
      </c>
      <c r="C11" s="530" t="s">
        <v>1526</v>
      </c>
      <c r="D11" s="441" t="s">
        <v>1527</v>
      </c>
      <c r="E11" s="463" t="s">
        <v>58</v>
      </c>
      <c r="F11" s="463" t="s">
        <v>340</v>
      </c>
      <c r="G11" s="463" t="s">
        <v>94</v>
      </c>
      <c r="H11" s="462" t="s">
        <v>34</v>
      </c>
      <c r="I11" s="463" t="s">
        <v>1393</v>
      </c>
      <c r="J11" s="463" t="s">
        <v>596</v>
      </c>
      <c r="K11" s="463" t="s">
        <v>597</v>
      </c>
      <c r="L11" s="462" t="s">
        <v>598</v>
      </c>
      <c r="M11" s="530" t="s">
        <v>198</v>
      </c>
      <c r="N11" s="441" t="s">
        <v>354</v>
      </c>
      <c r="O11" s="462" t="s">
        <v>353</v>
      </c>
      <c r="Q11" s="59"/>
      <c r="R11" s="59"/>
      <c r="S11" s="59"/>
      <c r="T11" s="59"/>
      <c r="U11" s="59"/>
      <c r="V11" s="60"/>
      <c r="W11" s="60"/>
      <c r="X11" s="60"/>
      <c r="Y11" s="60"/>
      <c r="Z11" s="60"/>
      <c r="AA11" s="60"/>
      <c r="AB11" s="60"/>
      <c r="AC11" s="60"/>
      <c r="AD11" s="60"/>
    </row>
    <row r="12" spans="1:30" s="6" customFormat="1" ht="25.5" x14ac:dyDescent="0.2">
      <c r="B12" s="1896" t="s">
        <v>1</v>
      </c>
      <c r="C12" s="1627">
        <f>Inputs!C207</f>
        <v>0</v>
      </c>
      <c r="D12" s="1627">
        <f>Inputs!D207</f>
        <v>0</v>
      </c>
      <c r="E12" s="1882">
        <f>C12*'Emission Factors'!$D$149</f>
        <v>0</v>
      </c>
      <c r="F12" s="1882">
        <f>D12*'Emission Factors'!$D$149</f>
        <v>0</v>
      </c>
      <c r="G12" s="813">
        <f>E12*'Emission Factors'!$D$139</f>
        <v>0</v>
      </c>
      <c r="H12" s="814">
        <f>F12*'Emission Factors'!$D$139</f>
        <v>0</v>
      </c>
      <c r="I12" s="815" t="s">
        <v>57</v>
      </c>
      <c r="J12" s="1628">
        <f>Inputs!C199</f>
        <v>0</v>
      </c>
      <c r="K12" s="1628">
        <f>Inputs!D199</f>
        <v>0</v>
      </c>
      <c r="L12" s="688" t="e">
        <f>K12/J12</f>
        <v>#DIV/0!</v>
      </c>
      <c r="M12" s="689" t="s">
        <v>608</v>
      </c>
      <c r="N12" s="690" t="e">
        <f>H12*L12</f>
        <v>#DIV/0!</v>
      </c>
      <c r="O12" s="691" t="e">
        <f>G12*L12</f>
        <v>#DIV/0!</v>
      </c>
      <c r="Q12" s="61"/>
      <c r="R12" s="61"/>
      <c r="S12" s="61"/>
      <c r="T12" s="62"/>
      <c r="U12" s="62"/>
      <c r="V12" s="62"/>
      <c r="W12" s="62"/>
      <c r="X12" s="62"/>
      <c r="Y12" s="62"/>
      <c r="Z12" s="62"/>
      <c r="AA12" s="62"/>
      <c r="AB12" s="62"/>
      <c r="AC12" s="62"/>
      <c r="AD12" s="62"/>
    </row>
    <row r="13" spans="1:30" s="6" customFormat="1" ht="25.5" x14ac:dyDescent="0.2">
      <c r="B13" s="1896" t="s">
        <v>2</v>
      </c>
      <c r="C13" s="1885">
        <f>Inputs!C208</f>
        <v>0</v>
      </c>
      <c r="D13" s="1883">
        <f>Inputs!D208</f>
        <v>0</v>
      </c>
      <c r="E13" s="1882">
        <f>C13*'Emission Factors'!$D$149</f>
        <v>0</v>
      </c>
      <c r="F13" s="1882">
        <f>D13*'Emission Factors'!$D$149</f>
        <v>0</v>
      </c>
      <c r="G13" s="813">
        <f>E13*'Emission Factors'!$D$139</f>
        <v>0</v>
      </c>
      <c r="H13" s="814">
        <f>F13*'Emission Factors'!$D$139</f>
        <v>0</v>
      </c>
      <c r="I13" s="815" t="s">
        <v>592</v>
      </c>
      <c r="J13" s="1628">
        <f>Inputs!C200</f>
        <v>0</v>
      </c>
      <c r="K13" s="1628">
        <f>Inputs!D200</f>
        <v>0</v>
      </c>
      <c r="L13" s="688" t="e">
        <f t="shared" ref="L13:L14" si="0">K13/J13</f>
        <v>#DIV/0!</v>
      </c>
      <c r="M13" s="689" t="s">
        <v>207</v>
      </c>
      <c r="N13" s="692" t="e">
        <f>H13*L13</f>
        <v>#DIV/0!</v>
      </c>
      <c r="O13" s="691" t="e">
        <f>G13*L13</f>
        <v>#DIV/0!</v>
      </c>
      <c r="Q13" s="61"/>
      <c r="R13" s="61"/>
      <c r="S13" s="61"/>
      <c r="T13" s="62"/>
      <c r="U13" s="62"/>
      <c r="V13" s="62"/>
      <c r="W13" s="62"/>
      <c r="X13" s="62"/>
      <c r="Y13" s="62"/>
      <c r="Z13" s="62"/>
      <c r="AA13" s="62"/>
      <c r="AB13" s="62"/>
      <c r="AC13" s="62"/>
      <c r="AD13" s="62"/>
    </row>
    <row r="14" spans="1:30" s="6" customFormat="1" ht="25.5" x14ac:dyDescent="0.2">
      <c r="B14" s="1896" t="s">
        <v>3</v>
      </c>
      <c r="C14" s="1627">
        <f>Inputs!C209</f>
        <v>0</v>
      </c>
      <c r="D14" s="1627">
        <f>Inputs!D209</f>
        <v>0</v>
      </c>
      <c r="E14" s="1882">
        <f>C14*'Emission Factors'!$D$149</f>
        <v>0</v>
      </c>
      <c r="F14" s="1882">
        <f>D14*'Emission Factors'!$D$149</f>
        <v>0</v>
      </c>
      <c r="G14" s="813">
        <f>E14*'Emission Factors'!$D$139</f>
        <v>0</v>
      </c>
      <c r="H14" s="814">
        <f>F14*'Emission Factors'!$D$139</f>
        <v>0</v>
      </c>
      <c r="I14" s="816" t="s">
        <v>602</v>
      </c>
      <c r="J14" s="1629">
        <f>Inputs!C198-Inputs!C199</f>
        <v>0</v>
      </c>
      <c r="K14" s="1630">
        <f>Inputs!D198-Inputs!D199</f>
        <v>0</v>
      </c>
      <c r="L14" s="578" t="e">
        <f t="shared" si="0"/>
        <v>#DIV/0!</v>
      </c>
      <c r="M14" s="506" t="s">
        <v>207</v>
      </c>
      <c r="N14" s="507" t="e">
        <f>H14*L14</f>
        <v>#DIV/0!</v>
      </c>
      <c r="O14" s="693" t="e">
        <f>G14*L14</f>
        <v>#DIV/0!</v>
      </c>
      <c r="Q14" s="61"/>
      <c r="R14" s="61"/>
      <c r="S14" s="61"/>
      <c r="T14" s="62"/>
      <c r="U14" s="62"/>
      <c r="V14" s="62"/>
      <c r="W14" s="62"/>
      <c r="X14" s="62"/>
      <c r="Y14" s="62"/>
      <c r="Z14" s="62"/>
      <c r="AA14" s="62"/>
      <c r="AB14" s="62"/>
      <c r="AC14" s="62"/>
      <c r="AD14" s="62"/>
    </row>
    <row r="15" spans="1:30" s="28" customFormat="1" ht="26.25" thickBot="1" x14ac:dyDescent="0.25">
      <c r="B15" s="1897" t="s">
        <v>605</v>
      </c>
      <c r="C15" s="1895">
        <f>Inputs!C210</f>
        <v>0</v>
      </c>
      <c r="D15" s="1884">
        <f>Inputs!D210</f>
        <v>0</v>
      </c>
      <c r="E15" s="1882">
        <f>C15*'Emission Factors'!$D$149</f>
        <v>0</v>
      </c>
      <c r="F15" s="1882">
        <f>D15*'Emission Factors'!$D$149</f>
        <v>0</v>
      </c>
      <c r="G15" s="813">
        <f>E15*'Emission Factors'!$D$139</f>
        <v>0</v>
      </c>
      <c r="H15" s="814">
        <f>F15*'Emission Factors'!$D$139</f>
        <v>0</v>
      </c>
      <c r="I15" s="816" t="s">
        <v>606</v>
      </c>
      <c r="J15" s="1629">
        <f>Inputs!C201</f>
        <v>0</v>
      </c>
      <c r="K15" s="1630">
        <f>Inputs!D201</f>
        <v>0</v>
      </c>
      <c r="L15" s="578" t="e">
        <f t="shared" ref="L15" si="1">K15/J15</f>
        <v>#DIV/0!</v>
      </c>
      <c r="M15" s="506" t="s">
        <v>589</v>
      </c>
      <c r="N15" s="507" t="e">
        <f>H15*L15</f>
        <v>#DIV/0!</v>
      </c>
      <c r="O15" s="693" t="e">
        <f>G15*L15</f>
        <v>#DIV/0!</v>
      </c>
      <c r="Q15" s="61"/>
      <c r="R15" s="61"/>
      <c r="S15" s="61"/>
      <c r="T15" s="62"/>
      <c r="U15" s="62"/>
      <c r="V15" s="62"/>
      <c r="W15" s="62"/>
      <c r="X15" s="62"/>
      <c r="Y15" s="62"/>
      <c r="Z15" s="62"/>
      <c r="AA15" s="62"/>
      <c r="AB15" s="62"/>
      <c r="AC15" s="62"/>
      <c r="AD15" s="62"/>
    </row>
    <row r="16" spans="1:30" s="28" customFormat="1" ht="12.75" customHeight="1" x14ac:dyDescent="0.2">
      <c r="B16" s="2279" t="s">
        <v>1112</v>
      </c>
      <c r="C16" s="2280"/>
      <c r="D16" s="2280"/>
      <c r="E16" s="2280"/>
      <c r="F16" s="2280"/>
      <c r="G16" s="2280"/>
      <c r="H16" s="2280"/>
      <c r="I16" s="2280"/>
      <c r="J16" s="2280"/>
      <c r="K16" s="2280"/>
      <c r="L16" s="2280"/>
      <c r="M16" s="2281"/>
      <c r="N16" s="1889" t="e">
        <f>N12</f>
        <v>#DIV/0!</v>
      </c>
      <c r="O16" s="1887" t="e">
        <f>O12</f>
        <v>#DIV/0!</v>
      </c>
      <c r="P16" s="61"/>
      <c r="Q16" s="62"/>
      <c r="R16" s="62"/>
      <c r="S16" s="62"/>
      <c r="T16" s="62"/>
      <c r="U16" s="62"/>
      <c r="V16" s="62"/>
      <c r="W16" s="62"/>
      <c r="X16" s="62"/>
      <c r="Y16" s="62"/>
      <c r="Z16" s="62"/>
      <c r="AA16" s="62"/>
    </row>
    <row r="17" spans="2:27" s="28" customFormat="1" ht="12.75" customHeight="1" x14ac:dyDescent="0.2">
      <c r="B17" s="2296" t="s">
        <v>206</v>
      </c>
      <c r="C17" s="2297"/>
      <c r="D17" s="2297"/>
      <c r="E17" s="2297"/>
      <c r="F17" s="2297"/>
      <c r="G17" s="2297"/>
      <c r="H17" s="2297"/>
      <c r="I17" s="2297"/>
      <c r="J17" s="2297"/>
      <c r="K17" s="2297"/>
      <c r="L17" s="2297"/>
      <c r="M17" s="2298"/>
      <c r="N17" s="1890" t="e">
        <f>SUM(N13:N14)</f>
        <v>#DIV/0!</v>
      </c>
      <c r="O17" s="1888" t="e">
        <f>SUM(O13:O14)</f>
        <v>#DIV/0!</v>
      </c>
      <c r="P17" s="61"/>
      <c r="Q17" s="62"/>
      <c r="R17" s="62"/>
      <c r="S17" s="62"/>
      <c r="T17" s="62"/>
      <c r="U17" s="62"/>
      <c r="V17" s="62"/>
      <c r="W17" s="62"/>
      <c r="X17" s="62"/>
      <c r="Y17" s="62"/>
      <c r="Z17" s="62"/>
      <c r="AA17" s="62"/>
    </row>
    <row r="18" spans="2:27" s="28" customFormat="1" ht="13.5" customHeight="1" thickBot="1" x14ac:dyDescent="0.25">
      <c r="B18" s="2299" t="s">
        <v>607</v>
      </c>
      <c r="C18" s="2300"/>
      <c r="D18" s="2300"/>
      <c r="E18" s="2300"/>
      <c r="F18" s="2300"/>
      <c r="G18" s="2300"/>
      <c r="H18" s="2300"/>
      <c r="I18" s="2300"/>
      <c r="J18" s="2300"/>
      <c r="K18" s="2300"/>
      <c r="L18" s="2300"/>
      <c r="M18" s="2301"/>
      <c r="N18" s="1893" t="e">
        <f>N15</f>
        <v>#DIV/0!</v>
      </c>
      <c r="O18" s="1894" t="e">
        <f>O15</f>
        <v>#DIV/0!</v>
      </c>
      <c r="P18" s="61"/>
      <c r="Q18" s="62"/>
      <c r="R18" s="62"/>
      <c r="S18" s="62"/>
      <c r="T18" s="62"/>
      <c r="U18" s="62"/>
      <c r="V18" s="62"/>
      <c r="W18" s="62"/>
      <c r="X18" s="62"/>
      <c r="Y18" s="62"/>
      <c r="Z18" s="62"/>
      <c r="AA18" s="62"/>
    </row>
    <row r="19" spans="2:27" s="28" customFormat="1" ht="13.5" thickBot="1" x14ac:dyDescent="0.25">
      <c r="B19" s="2302" t="s">
        <v>95</v>
      </c>
      <c r="C19" s="2303"/>
      <c r="D19" s="2303"/>
      <c r="E19" s="2303"/>
      <c r="F19" s="2303"/>
      <c r="G19" s="2303"/>
      <c r="H19" s="2303"/>
      <c r="I19" s="2303"/>
      <c r="J19" s="2303"/>
      <c r="K19" s="2303"/>
      <c r="L19" s="2303"/>
      <c r="M19" s="2304"/>
      <c r="N19" s="1891" t="e">
        <f>SUM(N16:N18)</f>
        <v>#DIV/0!</v>
      </c>
      <c r="O19" s="1892" t="e">
        <f>SUM(O16:O18)</f>
        <v>#DIV/0!</v>
      </c>
    </row>
    <row r="20" spans="2:27" s="28" customFormat="1" ht="40.5" customHeight="1" thickBot="1" x14ac:dyDescent="0.25">
      <c r="B20" s="2282" t="s">
        <v>603</v>
      </c>
      <c r="C20" s="2170"/>
      <c r="D20" s="2170"/>
      <c r="E20" s="2170"/>
      <c r="F20" s="685" t="s">
        <v>604</v>
      </c>
      <c r="G20" s="505"/>
      <c r="H20" s="308"/>
      <c r="I20" s="308"/>
      <c r="J20" s="308"/>
      <c r="K20" s="308"/>
      <c r="L20" s="308"/>
      <c r="M20" s="308"/>
      <c r="N20" s="308"/>
      <c r="O20" s="308"/>
      <c r="P20" s="54"/>
    </row>
    <row r="21" spans="2:27" s="28" customFormat="1" x14ac:dyDescent="0.2">
      <c r="B21" s="54"/>
      <c r="C21" s="54"/>
      <c r="D21" s="54"/>
      <c r="E21" s="54"/>
      <c r="F21" s="54"/>
      <c r="G21" s="54"/>
      <c r="H21" s="54"/>
      <c r="I21" s="54"/>
      <c r="J21" s="54"/>
      <c r="K21" s="54"/>
      <c r="L21" s="797"/>
      <c r="M21" s="687"/>
      <c r="N21" s="54"/>
      <c r="O21" s="54"/>
    </row>
    <row r="22" spans="2:27" s="28" customFormat="1" x14ac:dyDescent="0.2"/>
    <row r="23" spans="2:27" s="28" customFormat="1" ht="47.25" customHeight="1" x14ac:dyDescent="0.2"/>
    <row r="24" spans="2:27" s="28" customFormat="1" ht="30" customHeight="1" x14ac:dyDescent="0.2"/>
    <row r="25" spans="2:27" s="28" customFormat="1" ht="30" customHeight="1" x14ac:dyDescent="0.2"/>
    <row r="26" spans="2:27" s="28" customFormat="1" ht="49.5" customHeight="1" x14ac:dyDescent="0.2">
      <c r="I26" s="8"/>
      <c r="J26" s="8"/>
    </row>
    <row r="27" spans="2:27" s="28" customFormat="1" ht="39.75" customHeight="1" x14ac:dyDescent="0.2">
      <c r="I27" s="8"/>
    </row>
    <row r="28" spans="2:27" s="28" customFormat="1" x14ac:dyDescent="0.2">
      <c r="I28" s="8"/>
    </row>
    <row r="29" spans="2:27" s="28" customFormat="1" x14ac:dyDescent="0.2">
      <c r="I29" s="8"/>
    </row>
    <row r="30" spans="2:27" s="28" customFormat="1" x14ac:dyDescent="0.2">
      <c r="I30" s="8"/>
    </row>
    <row r="31" spans="2:27" s="28" customFormat="1" x14ac:dyDescent="0.2">
      <c r="I31" s="8"/>
    </row>
    <row r="32" spans="2:27" s="28" customFormat="1" x14ac:dyDescent="0.2">
      <c r="I32" s="8"/>
    </row>
    <row r="33" spans="2:11" s="28" customFormat="1" x14ac:dyDescent="0.2">
      <c r="I33" s="8"/>
    </row>
    <row r="34" spans="2:11" s="28" customFormat="1" x14ac:dyDescent="0.2">
      <c r="I34" s="8"/>
    </row>
    <row r="35" spans="2:11" s="28" customFormat="1" x14ac:dyDescent="0.2">
      <c r="B35" s="13"/>
      <c r="C35" s="13"/>
      <c r="D35" s="13"/>
      <c r="E35" s="13"/>
      <c r="F35" s="13"/>
      <c r="G35" s="13"/>
      <c r="H35" s="13"/>
      <c r="I35" s="13"/>
      <c r="J35" s="13"/>
      <c r="K35" s="13"/>
    </row>
    <row r="36" spans="2:11" s="28" customFormat="1" x14ac:dyDescent="0.2">
      <c r="B36" s="13"/>
      <c r="C36" s="13"/>
      <c r="D36" s="13"/>
      <c r="E36" s="13"/>
      <c r="F36" s="13"/>
      <c r="G36" s="13"/>
      <c r="H36" s="13"/>
      <c r="I36" s="13"/>
      <c r="J36" s="13"/>
      <c r="K36" s="13"/>
    </row>
    <row r="37" spans="2:11" s="28" customFormat="1" x14ac:dyDescent="0.2">
      <c r="B37" s="13"/>
      <c r="C37" s="13"/>
      <c r="D37" s="13"/>
      <c r="E37" s="13"/>
      <c r="F37" s="13"/>
      <c r="G37" s="13"/>
      <c r="H37" s="13"/>
      <c r="I37" s="13"/>
      <c r="J37" s="13"/>
      <c r="K37" s="13"/>
    </row>
    <row r="38" spans="2:11" s="28" customFormat="1" x14ac:dyDescent="0.2">
      <c r="B38" s="13"/>
      <c r="C38" s="13"/>
      <c r="D38" s="13"/>
      <c r="E38" s="13"/>
      <c r="F38" s="13"/>
      <c r="G38" s="13"/>
      <c r="H38" s="13"/>
      <c r="I38" s="13"/>
      <c r="J38" s="13"/>
      <c r="K38" s="13"/>
    </row>
    <row r="39" spans="2:11" s="28" customFormat="1" x14ac:dyDescent="0.2">
      <c r="B39" s="13"/>
      <c r="C39" s="13"/>
      <c r="D39" s="13"/>
      <c r="E39" s="13"/>
      <c r="F39" s="13"/>
      <c r="G39" s="13"/>
      <c r="H39" s="13"/>
      <c r="I39" s="13"/>
      <c r="J39" s="13"/>
      <c r="K39" s="13"/>
    </row>
    <row r="40" spans="2:11" s="28" customFormat="1" x14ac:dyDescent="0.2"/>
    <row r="41" spans="2:11" s="28" customFormat="1" x14ac:dyDescent="0.2"/>
    <row r="42" spans="2:11" s="28" customFormat="1" x14ac:dyDescent="0.2"/>
    <row r="43" spans="2:11" s="28" customFormat="1" x14ac:dyDescent="0.2"/>
    <row r="44" spans="2:11" s="28" customFormat="1" x14ac:dyDescent="0.2"/>
    <row r="45" spans="2:11" s="28" customFormat="1" x14ac:dyDescent="0.2"/>
    <row r="46" spans="2:11" s="28" customFormat="1" x14ac:dyDescent="0.2"/>
    <row r="47" spans="2:11" s="28" customFormat="1" x14ac:dyDescent="0.2"/>
    <row r="48" spans="2:11" s="28" customFormat="1" x14ac:dyDescent="0.2"/>
    <row r="49" s="28" customFormat="1" x14ac:dyDescent="0.2"/>
    <row r="50" s="28" customFormat="1" x14ac:dyDescent="0.2"/>
    <row r="51" s="28" customFormat="1" x14ac:dyDescent="0.2"/>
    <row r="52" s="28" customFormat="1" x14ac:dyDescent="0.2"/>
    <row r="53" s="28" customFormat="1" x14ac:dyDescent="0.2"/>
    <row r="54" s="28" customFormat="1" x14ac:dyDescent="0.2"/>
    <row r="55" s="28" customFormat="1" x14ac:dyDescent="0.2"/>
    <row r="56" s="28" customFormat="1" x14ac:dyDescent="0.2"/>
    <row r="57" s="28" customFormat="1" x14ac:dyDescent="0.2"/>
    <row r="58" s="28" customFormat="1" x14ac:dyDescent="0.2"/>
    <row r="59" s="28" customFormat="1" x14ac:dyDescent="0.2"/>
    <row r="60" s="28" customFormat="1" x14ac:dyDescent="0.2"/>
    <row r="61" s="28" customFormat="1" x14ac:dyDescent="0.2"/>
    <row r="62" s="28" customFormat="1" x14ac:dyDescent="0.2"/>
    <row r="63" s="28" customFormat="1" x14ac:dyDescent="0.2"/>
    <row r="64" s="28" customFormat="1" x14ac:dyDescent="0.2"/>
    <row r="65" s="28" customFormat="1" x14ac:dyDescent="0.2"/>
  </sheetData>
  <mergeCells count="15">
    <mergeCell ref="B9:O9"/>
    <mergeCell ref="B16:M16"/>
    <mergeCell ref="B20:E20"/>
    <mergeCell ref="B1:L1"/>
    <mergeCell ref="B2:G2"/>
    <mergeCell ref="C3:G3"/>
    <mergeCell ref="C4:G4"/>
    <mergeCell ref="B7:G7"/>
    <mergeCell ref="B6:G6"/>
    <mergeCell ref="B17:M17"/>
    <mergeCell ref="B18:M18"/>
    <mergeCell ref="B19:M19"/>
    <mergeCell ref="C10:H10"/>
    <mergeCell ref="I10:L10"/>
    <mergeCell ref="M10:O10"/>
  </mergeCells>
  <hyperlinks>
    <hyperlink ref="F20" r:id="rId1" xr:uid="{00000000-0004-0000-0A00-000000000000}"/>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39997558519241921"/>
  </sheetPr>
  <dimension ref="A1:BD73"/>
  <sheetViews>
    <sheetView showGridLines="0" zoomScaleNormal="100" workbookViewId="0">
      <selection activeCell="C11" sqref="C11"/>
    </sheetView>
  </sheetViews>
  <sheetFormatPr defaultRowHeight="12.75" x14ac:dyDescent="0.2"/>
  <cols>
    <col min="1" max="1" width="3.28515625" style="1282" customWidth="1"/>
    <col min="2" max="2" width="21.140625" style="1282" customWidth="1"/>
    <col min="3" max="3" width="70" style="1282" customWidth="1"/>
    <col min="4" max="4" width="27.7109375" style="1282" customWidth="1"/>
    <col min="5" max="5" width="34.28515625" style="1282" customWidth="1"/>
    <col min="6" max="6" width="17.7109375" style="1282" customWidth="1"/>
    <col min="7" max="10" width="46.28515625" style="1282" customWidth="1"/>
    <col min="11" max="11" width="46.28515625" style="1283" customWidth="1"/>
    <col min="12" max="12" width="9.5703125" style="1283" customWidth="1"/>
    <col min="13" max="16" width="46.28515625" style="1283" customWidth="1"/>
    <col min="17" max="17" width="26.28515625" style="1283" customWidth="1"/>
    <col min="18" max="56" width="9.140625" style="1283"/>
    <col min="57" max="16384" width="9.140625" style="1282"/>
  </cols>
  <sheetData>
    <row r="1" spans="1:56" ht="13.5" thickBot="1" x14ac:dyDescent="0.25">
      <c r="A1" s="1284"/>
      <c r="B1" s="1284"/>
      <c r="C1" s="1284"/>
      <c r="D1" s="1284"/>
      <c r="E1" s="1284"/>
      <c r="F1" s="1284"/>
      <c r="G1" s="1284"/>
    </row>
    <row r="2" spans="1:56" s="1283" customFormat="1" ht="24" thickBot="1" x14ac:dyDescent="0.4">
      <c r="A2" s="1282"/>
      <c r="B2" s="2310" t="s">
        <v>1380</v>
      </c>
      <c r="C2" s="2311"/>
      <c r="D2" s="2311"/>
      <c r="E2" s="2312"/>
      <c r="F2" s="1300"/>
      <c r="G2" s="1300"/>
      <c r="H2" s="1300"/>
      <c r="I2" s="1300"/>
    </row>
    <row r="3" spans="1:56" s="1283" customFormat="1" x14ac:dyDescent="0.2">
      <c r="A3" s="1284"/>
      <c r="B3" s="1299" t="s">
        <v>247</v>
      </c>
      <c r="C3" s="2315" t="s">
        <v>195</v>
      </c>
      <c r="D3" s="2316"/>
      <c r="E3" s="2317"/>
    </row>
    <row r="4" spans="1:56" s="1283" customFormat="1" ht="13.5" thickBot="1" x14ac:dyDescent="0.25">
      <c r="A4" s="1284"/>
      <c r="B4" s="1298" t="s">
        <v>250</v>
      </c>
      <c r="C4" s="2318" t="s">
        <v>197</v>
      </c>
      <c r="D4" s="2319"/>
      <c r="E4" s="2320"/>
    </row>
    <row r="5" spans="1:56" s="1283" customFormat="1" ht="14.25" customHeight="1" thickBot="1" x14ac:dyDescent="0.25">
      <c r="A5" s="1284"/>
      <c r="B5" s="1284"/>
      <c r="C5" s="1284"/>
      <c r="D5" s="1284"/>
    </row>
    <row r="6" spans="1:56" ht="23.25" customHeight="1" x14ac:dyDescent="0.2">
      <c r="A6" s="1284"/>
      <c r="B6" s="2322" t="s">
        <v>91</v>
      </c>
      <c r="C6" s="2316"/>
      <c r="D6" s="2316"/>
      <c r="E6" s="2317"/>
      <c r="F6" s="1283"/>
      <c r="G6" s="1283"/>
      <c r="H6" s="1283"/>
      <c r="I6" s="1283"/>
      <c r="J6" s="1283"/>
      <c r="BB6" s="1282"/>
      <c r="BC6" s="1282"/>
      <c r="BD6" s="1282"/>
    </row>
    <row r="7" spans="1:56" ht="145.5" customHeight="1" thickBot="1" x14ac:dyDescent="0.25">
      <c r="A7" s="1284"/>
      <c r="B7" s="2321" t="s">
        <v>1389</v>
      </c>
      <c r="C7" s="2319"/>
      <c r="D7" s="2319"/>
      <c r="E7" s="2320"/>
      <c r="F7" s="1283"/>
      <c r="G7" s="1283"/>
      <c r="H7" s="1283"/>
      <c r="I7" s="1283"/>
      <c r="J7" s="1283"/>
      <c r="BB7" s="1282"/>
      <c r="BC7" s="1282"/>
      <c r="BD7" s="1282"/>
    </row>
    <row r="8" spans="1:56" ht="13.5" thickBot="1" x14ac:dyDescent="0.25">
      <c r="A8" s="1284"/>
      <c r="B8" s="1284"/>
      <c r="C8" s="1284"/>
      <c r="D8" s="1284"/>
      <c r="E8" s="1284"/>
      <c r="F8" s="1284"/>
      <c r="G8" s="1284"/>
      <c r="H8" s="1283"/>
      <c r="I8" s="1283"/>
      <c r="J8" s="1283"/>
      <c r="BB8" s="1282"/>
      <c r="BC8" s="1282"/>
      <c r="BD8" s="1282"/>
    </row>
    <row r="9" spans="1:56" ht="18.75" customHeight="1" thickBot="1" x14ac:dyDescent="0.25">
      <c r="A9" s="1284"/>
      <c r="B9" s="2225" t="s">
        <v>1379</v>
      </c>
      <c r="C9" s="2314"/>
      <c r="D9" s="1284"/>
      <c r="E9" s="1284"/>
      <c r="F9" s="1294"/>
      <c r="G9" s="1284"/>
      <c r="H9" s="1284"/>
      <c r="I9" s="1284"/>
      <c r="J9" s="1284"/>
      <c r="BB9" s="1282"/>
      <c r="BC9" s="1282"/>
      <c r="BD9" s="1282"/>
    </row>
    <row r="10" spans="1:56" ht="36" customHeight="1" x14ac:dyDescent="0.2">
      <c r="A10" s="1284"/>
      <c r="B10" s="1297" t="s">
        <v>1378</v>
      </c>
      <c r="C10" s="1296" t="s">
        <v>1377</v>
      </c>
      <c r="D10" s="1284"/>
      <c r="G10" s="1284"/>
      <c r="H10" s="1284"/>
      <c r="I10" s="1284"/>
      <c r="J10" s="1284"/>
      <c r="BB10" s="1282"/>
      <c r="BC10" s="1282"/>
      <c r="BD10" s="1282"/>
    </row>
    <row r="11" spans="1:56" ht="13.5" thickBot="1" x14ac:dyDescent="0.25">
      <c r="A11" s="1284"/>
      <c r="B11" s="1305" t="str">
        <f>Inputs!C12</f>
        <v>Abington</v>
      </c>
      <c r="C11" s="1295">
        <f>SUMIF(D15:D72,B11,F15:F72)</f>
        <v>0</v>
      </c>
      <c r="D11" s="1284"/>
      <c r="E11" s="1284"/>
      <c r="F11" s="1294"/>
      <c r="G11" s="1284"/>
      <c r="H11" s="1284"/>
      <c r="I11" s="1284"/>
      <c r="J11" s="1284"/>
      <c r="BB11" s="1282"/>
      <c r="BC11" s="1282"/>
      <c r="BD11" s="1282"/>
    </row>
    <row r="12" spans="1:56" ht="13.5" thickBot="1" x14ac:dyDescent="0.25">
      <c r="A12" s="1284"/>
      <c r="B12" s="1284"/>
      <c r="C12" s="1284"/>
      <c r="D12" s="1284"/>
      <c r="E12" s="1284"/>
      <c r="F12" s="1284"/>
      <c r="G12" s="1284"/>
      <c r="H12" s="1284"/>
      <c r="I12" s="1284"/>
      <c r="J12" s="1284"/>
    </row>
    <row r="13" spans="1:56" ht="22.5" customHeight="1" thickBot="1" x14ac:dyDescent="0.25">
      <c r="A13" s="1284"/>
      <c r="B13" s="2225" t="s">
        <v>1438</v>
      </c>
      <c r="C13" s="2313"/>
      <c r="D13" s="2313"/>
      <c r="E13" s="2313"/>
      <c r="F13" s="2314"/>
      <c r="G13" s="1284"/>
      <c r="H13" s="1284"/>
      <c r="I13" s="1284"/>
      <c r="J13" s="1284"/>
    </row>
    <row r="14" spans="1:56" ht="51.75" customHeight="1" x14ac:dyDescent="0.2">
      <c r="A14" s="1284"/>
      <c r="B14" s="1293" t="s">
        <v>1376</v>
      </c>
      <c r="C14" s="1292" t="s">
        <v>1375</v>
      </c>
      <c r="D14" s="1292" t="s">
        <v>1374</v>
      </c>
      <c r="E14" s="1292" t="s">
        <v>1373</v>
      </c>
      <c r="F14" s="1291" t="s">
        <v>1372</v>
      </c>
      <c r="G14" s="1284"/>
      <c r="H14" s="1284"/>
      <c r="I14" s="1284"/>
      <c r="J14" s="1284"/>
    </row>
    <row r="15" spans="1:56" x14ac:dyDescent="0.2">
      <c r="A15" s="1284"/>
      <c r="B15" s="1290">
        <v>1000056</v>
      </c>
      <c r="C15" s="1289" t="s">
        <v>1371</v>
      </c>
      <c r="D15" s="1302" t="s">
        <v>724</v>
      </c>
      <c r="E15" s="1289" t="s">
        <v>1370</v>
      </c>
      <c r="F15" s="1325">
        <v>136303.79999999999</v>
      </c>
      <c r="G15" s="1284"/>
      <c r="H15" s="1284"/>
      <c r="I15" s="1284"/>
      <c r="J15" s="1284"/>
    </row>
    <row r="16" spans="1:56" x14ac:dyDescent="0.2">
      <c r="A16" s="1284"/>
      <c r="B16" s="1288">
        <v>1001298</v>
      </c>
      <c r="C16" s="1287" t="s">
        <v>1369</v>
      </c>
      <c r="D16" s="1303" t="s">
        <v>721</v>
      </c>
      <c r="E16" s="1287" t="s">
        <v>1368</v>
      </c>
      <c r="F16" s="1326">
        <v>158378</v>
      </c>
      <c r="G16" s="1284"/>
      <c r="H16" s="1284"/>
      <c r="I16" s="1284"/>
      <c r="J16" s="1284"/>
    </row>
    <row r="17" spans="1:10" x14ac:dyDescent="0.2">
      <c r="A17" s="1284"/>
      <c r="B17" s="1288">
        <v>1004865</v>
      </c>
      <c r="C17" s="1287" t="s">
        <v>1367</v>
      </c>
      <c r="D17" s="1303" t="s">
        <v>721</v>
      </c>
      <c r="E17" s="1287" t="s">
        <v>1366</v>
      </c>
      <c r="F17" s="1326">
        <v>42327.6</v>
      </c>
      <c r="I17" s="1284"/>
      <c r="J17" s="1284"/>
    </row>
    <row r="18" spans="1:10" x14ac:dyDescent="0.2">
      <c r="A18" s="1284"/>
      <c r="B18" s="1288">
        <v>1010498</v>
      </c>
      <c r="C18" s="1287" t="s">
        <v>1365</v>
      </c>
      <c r="D18" s="1303" t="s">
        <v>721</v>
      </c>
      <c r="E18" s="1287" t="s">
        <v>1364</v>
      </c>
      <c r="F18" s="1326">
        <v>25751.5</v>
      </c>
      <c r="I18" s="1284"/>
      <c r="J18" s="1284"/>
    </row>
    <row r="19" spans="1:10" x14ac:dyDescent="0.2">
      <c r="A19" s="1284"/>
      <c r="B19" s="1288">
        <v>1005136</v>
      </c>
      <c r="C19" s="1287" t="s">
        <v>1363</v>
      </c>
      <c r="D19" s="1303" t="s">
        <v>725</v>
      </c>
      <c r="E19" s="1287" t="s">
        <v>1362</v>
      </c>
      <c r="F19" s="1326">
        <v>112865.2</v>
      </c>
      <c r="I19" s="1284"/>
      <c r="J19" s="1284"/>
    </row>
    <row r="20" spans="1:10" x14ac:dyDescent="0.2">
      <c r="A20" s="1284"/>
      <c r="B20" s="1288">
        <v>1004343</v>
      </c>
      <c r="C20" s="1287" t="s">
        <v>1361</v>
      </c>
      <c r="D20" s="1303" t="s">
        <v>619</v>
      </c>
      <c r="E20" s="1287" t="s">
        <v>1360</v>
      </c>
      <c r="F20" s="1326">
        <v>45761.4</v>
      </c>
      <c r="I20" s="1284"/>
      <c r="J20" s="1284"/>
    </row>
    <row r="21" spans="1:10" x14ac:dyDescent="0.2">
      <c r="A21" s="1284"/>
      <c r="B21" s="1288">
        <v>1006864</v>
      </c>
      <c r="C21" s="1287" t="s">
        <v>1359</v>
      </c>
      <c r="D21" s="1303" t="s">
        <v>611</v>
      </c>
      <c r="E21" s="1287" t="s">
        <v>1358</v>
      </c>
      <c r="F21" s="1326">
        <v>749948.6</v>
      </c>
      <c r="I21" s="1284"/>
      <c r="J21" s="1284"/>
    </row>
    <row r="22" spans="1:10" x14ac:dyDescent="0.2">
      <c r="A22" s="1284"/>
      <c r="B22" s="1288">
        <v>1001207</v>
      </c>
      <c r="C22" s="1287" t="s">
        <v>611</v>
      </c>
      <c r="D22" s="1303" t="s">
        <v>611</v>
      </c>
      <c r="E22" s="1287" t="s">
        <v>1357</v>
      </c>
      <c r="F22" s="1326">
        <v>353271.7</v>
      </c>
      <c r="I22" s="1284"/>
      <c r="J22" s="1284"/>
    </row>
    <row r="23" spans="1:10" x14ac:dyDescent="0.2">
      <c r="A23" s="1284"/>
      <c r="B23" s="1288">
        <v>1006657</v>
      </c>
      <c r="C23" s="1287" t="s">
        <v>1356</v>
      </c>
      <c r="D23" s="1303" t="s">
        <v>726</v>
      </c>
      <c r="E23" s="1287" t="s">
        <v>1355</v>
      </c>
      <c r="F23" s="1326">
        <v>785362.6</v>
      </c>
      <c r="I23" s="1284"/>
      <c r="J23" s="1284"/>
    </row>
    <row r="24" spans="1:10" x14ac:dyDescent="0.2">
      <c r="A24" s="1284"/>
      <c r="B24" s="1288">
        <v>1000580</v>
      </c>
      <c r="C24" s="1287" t="s">
        <v>1354</v>
      </c>
      <c r="D24" s="1303" t="s">
        <v>614</v>
      </c>
      <c r="E24" s="1287" t="s">
        <v>1353</v>
      </c>
      <c r="F24" s="1326">
        <v>244166.7</v>
      </c>
      <c r="I24" s="1284"/>
      <c r="J24" s="1284"/>
    </row>
    <row r="25" spans="1:10" x14ac:dyDescent="0.2">
      <c r="A25" s="1284"/>
      <c r="B25" s="1288">
        <v>1000092</v>
      </c>
      <c r="C25" s="1287" t="s">
        <v>1352</v>
      </c>
      <c r="D25" s="1303" t="s">
        <v>614</v>
      </c>
      <c r="E25" s="1287" t="s">
        <v>1351</v>
      </c>
      <c r="F25" s="1326">
        <v>74279.5</v>
      </c>
      <c r="I25" s="1284"/>
      <c r="J25" s="1284"/>
    </row>
    <row r="26" spans="1:10" x14ac:dyDescent="0.2">
      <c r="A26" s="1284"/>
      <c r="B26" s="1288">
        <v>1002497</v>
      </c>
      <c r="C26" s="1287" t="s">
        <v>1350</v>
      </c>
      <c r="D26" s="1303" t="s">
        <v>614</v>
      </c>
      <c r="E26" s="1287" t="s">
        <v>1349</v>
      </c>
      <c r="F26" s="1326">
        <v>50663.1</v>
      </c>
      <c r="I26" s="1284"/>
      <c r="J26" s="1284"/>
    </row>
    <row r="27" spans="1:10" x14ac:dyDescent="0.2">
      <c r="A27" s="1284"/>
      <c r="B27" s="1288">
        <v>1002274</v>
      </c>
      <c r="C27" s="1287" t="s">
        <v>1348</v>
      </c>
      <c r="D27" s="1303" t="s">
        <v>614</v>
      </c>
      <c r="E27" s="1287" t="s">
        <v>1347</v>
      </c>
      <c r="F27" s="1326">
        <v>43935</v>
      </c>
      <c r="I27" s="1284"/>
      <c r="J27" s="1284"/>
    </row>
    <row r="28" spans="1:10" x14ac:dyDescent="0.2">
      <c r="A28" s="1284"/>
      <c r="B28" s="1288">
        <v>1005277</v>
      </c>
      <c r="C28" s="1287" t="s">
        <v>1346</v>
      </c>
      <c r="D28" s="1303" t="s">
        <v>614</v>
      </c>
      <c r="E28" s="1287" t="s">
        <v>1345</v>
      </c>
      <c r="F28" s="1326">
        <v>29978.2</v>
      </c>
      <c r="I28" s="1284"/>
      <c r="J28" s="1284"/>
    </row>
    <row r="29" spans="1:10" x14ac:dyDescent="0.2">
      <c r="A29" s="1284"/>
      <c r="B29" s="1288">
        <v>1000653</v>
      </c>
      <c r="C29" s="1287" t="s">
        <v>1344</v>
      </c>
      <c r="D29" s="1303" t="s">
        <v>614</v>
      </c>
      <c r="E29" s="1287" t="s">
        <v>1343</v>
      </c>
      <c r="F29" s="1326">
        <v>2885328.8</v>
      </c>
      <c r="I29" s="1284"/>
      <c r="J29" s="1284"/>
    </row>
    <row r="30" spans="1:10" x14ac:dyDescent="0.2">
      <c r="A30" s="1284"/>
      <c r="B30" s="1288">
        <v>1000665</v>
      </c>
      <c r="C30" s="1287" t="s">
        <v>1342</v>
      </c>
      <c r="D30" s="1303" t="s">
        <v>626</v>
      </c>
      <c r="E30" s="1287" t="s">
        <v>1341</v>
      </c>
      <c r="F30" s="1326">
        <v>26425</v>
      </c>
      <c r="I30" s="1284"/>
      <c r="J30" s="1284"/>
    </row>
    <row r="31" spans="1:10" x14ac:dyDescent="0.2">
      <c r="A31" s="1284"/>
      <c r="B31" s="1288">
        <v>1000657</v>
      </c>
      <c r="C31" s="1287" t="s">
        <v>1340</v>
      </c>
      <c r="D31" s="1303" t="s">
        <v>14</v>
      </c>
      <c r="E31" s="1287" t="s">
        <v>1339</v>
      </c>
      <c r="F31" s="1326">
        <v>789577.6</v>
      </c>
      <c r="I31" s="1284"/>
      <c r="J31" s="1284"/>
    </row>
    <row r="32" spans="1:10" x14ac:dyDescent="0.2">
      <c r="A32" s="1284"/>
      <c r="B32" s="1288">
        <v>1001289</v>
      </c>
      <c r="C32" s="1287" t="s">
        <v>1338</v>
      </c>
      <c r="D32" s="1303" t="s">
        <v>14</v>
      </c>
      <c r="E32" s="1287" t="s">
        <v>1337</v>
      </c>
      <c r="F32" s="1326">
        <v>106676.6</v>
      </c>
      <c r="I32" s="1284"/>
      <c r="J32" s="1284"/>
    </row>
    <row r="33" spans="1:10" x14ac:dyDescent="0.2">
      <c r="A33" s="1284"/>
      <c r="B33" s="1288">
        <v>1000656</v>
      </c>
      <c r="C33" s="1287" t="s">
        <v>1336</v>
      </c>
      <c r="D33" s="1303" t="s">
        <v>14</v>
      </c>
      <c r="E33" s="1287" t="s">
        <v>1335</v>
      </c>
      <c r="F33" s="1326">
        <v>79907.199999999997</v>
      </c>
      <c r="I33" s="1284"/>
      <c r="J33" s="1284"/>
    </row>
    <row r="34" spans="1:10" x14ac:dyDescent="0.2">
      <c r="A34" s="1284"/>
      <c r="B34" s="1288">
        <v>1000383</v>
      </c>
      <c r="C34" s="1287" t="s">
        <v>1334</v>
      </c>
      <c r="D34" s="1303" t="s">
        <v>14</v>
      </c>
      <c r="E34" s="1287" t="s">
        <v>1333</v>
      </c>
      <c r="F34" s="1326">
        <v>29895.1</v>
      </c>
      <c r="I34" s="1284"/>
      <c r="J34" s="1284"/>
    </row>
    <row r="35" spans="1:10" x14ac:dyDescent="0.2">
      <c r="A35" s="1284"/>
      <c r="B35" s="1288">
        <v>1001307</v>
      </c>
      <c r="C35" s="1287" t="s">
        <v>1332</v>
      </c>
      <c r="D35" s="1303" t="s">
        <v>720</v>
      </c>
      <c r="E35" s="1287" t="s">
        <v>1331</v>
      </c>
      <c r="F35" s="1326">
        <v>508840.8</v>
      </c>
      <c r="I35" s="1284"/>
      <c r="J35" s="1284"/>
    </row>
    <row r="36" spans="1:10" x14ac:dyDescent="0.2">
      <c r="A36" s="1284"/>
      <c r="B36" s="1288">
        <v>1009333</v>
      </c>
      <c r="C36" s="1287" t="s">
        <v>1330</v>
      </c>
      <c r="D36" s="1303" t="s">
        <v>720</v>
      </c>
      <c r="E36" s="1287" t="s">
        <v>1329</v>
      </c>
      <c r="F36" s="1326">
        <v>36548.699999999997</v>
      </c>
      <c r="I36" s="1284"/>
      <c r="J36" s="1284"/>
    </row>
    <row r="37" spans="1:10" x14ac:dyDescent="0.2">
      <c r="A37" s="1284"/>
      <c r="B37" s="1288">
        <v>1009167</v>
      </c>
      <c r="C37" s="1287" t="s">
        <v>1328</v>
      </c>
      <c r="D37" s="1303" t="s">
        <v>727</v>
      </c>
      <c r="E37" s="1287" t="s">
        <v>1327</v>
      </c>
      <c r="F37" s="1326">
        <v>45152.5</v>
      </c>
      <c r="I37" s="1284"/>
      <c r="J37" s="1284"/>
    </row>
    <row r="38" spans="1:10" x14ac:dyDescent="0.2">
      <c r="A38" s="1284"/>
      <c r="B38" s="1288">
        <v>1001294</v>
      </c>
      <c r="C38" s="1287" t="s">
        <v>719</v>
      </c>
      <c r="D38" s="1303" t="s">
        <v>719</v>
      </c>
      <c r="E38" s="1287" t="s">
        <v>1326</v>
      </c>
      <c r="F38" s="1326">
        <v>281543.5</v>
      </c>
      <c r="I38" s="1284"/>
      <c r="J38" s="1284"/>
    </row>
    <row r="39" spans="1:10" x14ac:dyDescent="0.2">
      <c r="A39" s="1284"/>
      <c r="B39" s="1288">
        <v>1006452</v>
      </c>
      <c r="C39" s="1287" t="s">
        <v>1325</v>
      </c>
      <c r="D39" s="1303" t="s">
        <v>1324</v>
      </c>
      <c r="E39" s="1287" t="s">
        <v>1323</v>
      </c>
      <c r="F39" s="1326">
        <v>27744.1</v>
      </c>
      <c r="I39" s="1284"/>
      <c r="J39" s="1284"/>
    </row>
    <row r="40" spans="1:10" x14ac:dyDescent="0.2">
      <c r="A40" s="1284"/>
      <c r="B40" s="1288">
        <v>1005037</v>
      </c>
      <c r="C40" s="1287" t="s">
        <v>1322</v>
      </c>
      <c r="D40" s="1303" t="s">
        <v>728</v>
      </c>
      <c r="E40" s="1287" t="s">
        <v>1321</v>
      </c>
      <c r="F40" s="1326">
        <v>33811.1</v>
      </c>
      <c r="I40" s="1284"/>
      <c r="J40" s="1284"/>
    </row>
    <row r="41" spans="1:10" x14ac:dyDescent="0.2">
      <c r="A41" s="1284"/>
      <c r="B41" s="1288">
        <v>1003769</v>
      </c>
      <c r="C41" s="1287" t="s">
        <v>1320</v>
      </c>
      <c r="D41" s="1303" t="s">
        <v>623</v>
      </c>
      <c r="E41" s="1287" t="s">
        <v>1319</v>
      </c>
      <c r="F41" s="1326">
        <v>53770.8</v>
      </c>
      <c r="I41" s="1284"/>
      <c r="J41" s="1284"/>
    </row>
    <row r="42" spans="1:10" x14ac:dyDescent="0.2">
      <c r="A42" s="1284"/>
      <c r="B42" s="1288">
        <v>1005970</v>
      </c>
      <c r="C42" s="1287" t="s">
        <v>1318</v>
      </c>
      <c r="D42" s="1303" t="s">
        <v>729</v>
      </c>
      <c r="E42" s="1287" t="s">
        <v>1317</v>
      </c>
      <c r="F42" s="1326">
        <v>29824.6</v>
      </c>
      <c r="I42" s="1284"/>
      <c r="J42" s="1284"/>
    </row>
    <row r="43" spans="1:10" x14ac:dyDescent="0.2">
      <c r="A43" s="1284"/>
      <c r="B43" s="1288">
        <v>1006872</v>
      </c>
      <c r="C43" s="1287" t="s">
        <v>1316</v>
      </c>
      <c r="D43" s="1303" t="s">
        <v>1315</v>
      </c>
      <c r="E43" s="1287" t="s">
        <v>1314</v>
      </c>
      <c r="F43" s="1326">
        <v>26723.3</v>
      </c>
      <c r="I43" s="1284"/>
      <c r="J43" s="1284"/>
    </row>
    <row r="44" spans="1:10" x14ac:dyDescent="0.2">
      <c r="A44" s="1284"/>
      <c r="B44" s="1288">
        <v>1005179</v>
      </c>
      <c r="C44" s="1287" t="s">
        <v>1313</v>
      </c>
      <c r="D44" s="1303" t="s">
        <v>629</v>
      </c>
      <c r="E44" s="1287" t="s">
        <v>1312</v>
      </c>
      <c r="F44" s="1326">
        <v>233099.5</v>
      </c>
      <c r="I44" s="1284"/>
      <c r="J44" s="1284"/>
    </row>
    <row r="45" spans="1:10" x14ac:dyDescent="0.2">
      <c r="A45" s="1284"/>
      <c r="B45" s="1288">
        <v>1009856</v>
      </c>
      <c r="C45" s="1287" t="s">
        <v>1311</v>
      </c>
      <c r="D45" s="1303" t="s">
        <v>618</v>
      </c>
      <c r="E45" s="1287" t="s">
        <v>1310</v>
      </c>
      <c r="F45" s="1326">
        <v>3206.2</v>
      </c>
      <c r="I45" s="1284"/>
      <c r="J45" s="1284"/>
    </row>
    <row r="46" spans="1:10" x14ac:dyDescent="0.2">
      <c r="A46" s="1284"/>
      <c r="B46" s="1288">
        <v>1007435</v>
      </c>
      <c r="C46" s="1287" t="s">
        <v>1309</v>
      </c>
      <c r="D46" s="1303" t="s">
        <v>1308</v>
      </c>
      <c r="E46" s="1287" t="s">
        <v>1307</v>
      </c>
      <c r="F46" s="1326">
        <v>283809.2</v>
      </c>
      <c r="I46" s="1284"/>
      <c r="J46" s="1284"/>
    </row>
    <row r="47" spans="1:10" x14ac:dyDescent="0.2">
      <c r="A47" s="1284"/>
      <c r="B47" s="1288">
        <v>1005473</v>
      </c>
      <c r="C47" s="1287" t="s">
        <v>1306</v>
      </c>
      <c r="D47" s="1303" t="s">
        <v>730</v>
      </c>
      <c r="E47" s="1287" t="s">
        <v>1305</v>
      </c>
      <c r="F47" s="1326">
        <v>21993.599999999999</v>
      </c>
      <c r="I47" s="1284"/>
      <c r="J47" s="1284"/>
    </row>
    <row r="48" spans="1:10" x14ac:dyDescent="0.2">
      <c r="A48" s="1284"/>
      <c r="B48" s="1288">
        <v>1001279</v>
      </c>
      <c r="C48" s="1287" t="s">
        <v>1304</v>
      </c>
      <c r="D48" s="1303" t="s">
        <v>625</v>
      </c>
      <c r="E48" s="1287" t="s">
        <v>1303</v>
      </c>
      <c r="F48" s="1326">
        <v>29200.2</v>
      </c>
      <c r="I48" s="1284"/>
      <c r="J48" s="1284"/>
    </row>
    <row r="49" spans="1:10" x14ac:dyDescent="0.2">
      <c r="A49" s="1284"/>
      <c r="B49" s="1288">
        <v>1001021</v>
      </c>
      <c r="C49" s="1287" t="s">
        <v>1302</v>
      </c>
      <c r="D49" s="1303" t="s">
        <v>731</v>
      </c>
      <c r="E49" s="1287" t="s">
        <v>1301</v>
      </c>
      <c r="F49" s="1326">
        <v>56548.6</v>
      </c>
      <c r="I49" s="1284"/>
      <c r="J49" s="1284"/>
    </row>
    <row r="50" spans="1:10" x14ac:dyDescent="0.2">
      <c r="A50" s="1284"/>
      <c r="B50" s="1288">
        <v>1001200</v>
      </c>
      <c r="C50" s="1287" t="s">
        <v>1300</v>
      </c>
      <c r="D50" s="1303" t="s">
        <v>621</v>
      </c>
      <c r="E50" s="1287" t="s">
        <v>1299</v>
      </c>
      <c r="F50" s="1326">
        <v>90813.6</v>
      </c>
      <c r="I50" s="1284"/>
      <c r="J50" s="1284"/>
    </row>
    <row r="51" spans="1:10" x14ac:dyDescent="0.2">
      <c r="A51" s="1284"/>
      <c r="B51" s="1288">
        <v>1000655</v>
      </c>
      <c r="C51" s="1287" t="s">
        <v>1298</v>
      </c>
      <c r="D51" s="1303" t="s">
        <v>627</v>
      </c>
      <c r="E51" s="1287" t="s">
        <v>1297</v>
      </c>
      <c r="F51" s="1326">
        <v>7182.1</v>
      </c>
      <c r="I51" s="1284"/>
      <c r="J51" s="1284"/>
    </row>
    <row r="52" spans="1:10" x14ac:dyDescent="0.2">
      <c r="A52" s="1284"/>
      <c r="B52" s="1288">
        <v>1010499</v>
      </c>
      <c r="C52" s="1287" t="s">
        <v>1296</v>
      </c>
      <c r="D52" s="1303" t="s">
        <v>723</v>
      </c>
      <c r="E52" s="1287" t="s">
        <v>1295</v>
      </c>
      <c r="F52" s="1326">
        <v>17029.599999999999</v>
      </c>
      <c r="I52" s="1284"/>
      <c r="J52" s="1284"/>
    </row>
    <row r="53" spans="1:10" x14ac:dyDescent="0.2">
      <c r="A53" s="1284"/>
      <c r="B53" s="1288">
        <v>1006775</v>
      </c>
      <c r="C53" s="1287" t="s">
        <v>1294</v>
      </c>
      <c r="D53" s="1303" t="s">
        <v>680</v>
      </c>
      <c r="E53" s="1287" t="s">
        <v>1293</v>
      </c>
      <c r="F53" s="1326">
        <v>102135.3</v>
      </c>
      <c r="I53" s="1284"/>
      <c r="J53" s="1284"/>
    </row>
    <row r="54" spans="1:10" x14ac:dyDescent="0.2">
      <c r="A54" s="1284"/>
      <c r="B54" s="1288">
        <v>1000006</v>
      </c>
      <c r="C54" s="1287" t="s">
        <v>1292</v>
      </c>
      <c r="D54" s="1303" t="s">
        <v>680</v>
      </c>
      <c r="E54" s="1287" t="s">
        <v>1291</v>
      </c>
      <c r="F54" s="1326">
        <v>37284.6</v>
      </c>
      <c r="I54" s="1284"/>
      <c r="J54" s="1284"/>
    </row>
    <row r="55" spans="1:10" x14ac:dyDescent="0.2">
      <c r="A55" s="1284"/>
      <c r="B55" s="1288">
        <v>1006267</v>
      </c>
      <c r="C55" s="1287" t="s">
        <v>1290</v>
      </c>
      <c r="D55" s="1303" t="s">
        <v>732</v>
      </c>
      <c r="E55" s="1287" t="s">
        <v>1289</v>
      </c>
      <c r="F55" s="1326">
        <v>178668</v>
      </c>
      <c r="I55" s="1284"/>
      <c r="J55" s="1284"/>
    </row>
    <row r="56" spans="1:10" x14ac:dyDescent="0.2">
      <c r="A56" s="1284"/>
      <c r="B56" s="1288">
        <v>1004101</v>
      </c>
      <c r="C56" s="1287" t="s">
        <v>1288</v>
      </c>
      <c r="D56" s="1303" t="s">
        <v>630</v>
      </c>
      <c r="E56" s="1287" t="s">
        <v>1287</v>
      </c>
      <c r="F56" s="1326">
        <v>177595</v>
      </c>
      <c r="I56" s="1284"/>
      <c r="J56" s="1284"/>
    </row>
    <row r="57" spans="1:10" x14ac:dyDescent="0.2">
      <c r="A57" s="1284"/>
      <c r="B57" s="1288">
        <v>1001068</v>
      </c>
      <c r="C57" s="1287" t="s">
        <v>1286</v>
      </c>
      <c r="D57" s="1303" t="s">
        <v>1285</v>
      </c>
      <c r="E57" s="1287" t="s">
        <v>1284</v>
      </c>
      <c r="F57" s="1326">
        <v>40632</v>
      </c>
      <c r="I57" s="1284"/>
      <c r="J57" s="1284"/>
    </row>
    <row r="58" spans="1:10" x14ac:dyDescent="0.2">
      <c r="A58" s="1284"/>
      <c r="B58" s="1288">
        <v>1005731</v>
      </c>
      <c r="C58" s="1287" t="s">
        <v>1283</v>
      </c>
      <c r="D58" s="1303" t="s">
        <v>733</v>
      </c>
      <c r="E58" s="1287" t="s">
        <v>1282</v>
      </c>
      <c r="F58" s="1326">
        <v>81188.7</v>
      </c>
      <c r="I58" s="1284"/>
      <c r="J58" s="1284"/>
    </row>
    <row r="59" spans="1:10" x14ac:dyDescent="0.2">
      <c r="A59" s="1284"/>
      <c r="B59" s="1288">
        <v>1004797</v>
      </c>
      <c r="C59" s="1287" t="s">
        <v>1281</v>
      </c>
      <c r="D59" s="1303" t="s">
        <v>733</v>
      </c>
      <c r="E59" s="1287" t="s">
        <v>1280</v>
      </c>
      <c r="F59" s="1326">
        <v>26555.200000000001</v>
      </c>
      <c r="I59" s="1284"/>
      <c r="J59" s="1284"/>
    </row>
    <row r="60" spans="1:10" x14ac:dyDescent="0.2">
      <c r="A60" s="1284"/>
      <c r="B60" s="1288">
        <v>1005710</v>
      </c>
      <c r="C60" s="1287" t="s">
        <v>1279</v>
      </c>
      <c r="D60" s="1303" t="s">
        <v>628</v>
      </c>
      <c r="E60" s="1287" t="s">
        <v>1278</v>
      </c>
      <c r="F60" s="1326">
        <v>340533</v>
      </c>
      <c r="I60" s="1284"/>
      <c r="J60" s="1284"/>
    </row>
    <row r="61" spans="1:10" x14ac:dyDescent="0.2">
      <c r="A61" s="1284"/>
      <c r="B61" s="1288">
        <v>1000658</v>
      </c>
      <c r="C61" s="1287" t="s">
        <v>1277</v>
      </c>
      <c r="D61" s="1303" t="s">
        <v>734</v>
      </c>
      <c r="E61" s="1287" t="s">
        <v>1276</v>
      </c>
      <c r="F61" s="1326">
        <v>47559.5</v>
      </c>
      <c r="I61" s="1284"/>
      <c r="J61" s="1284"/>
    </row>
    <row r="62" spans="1:10" x14ac:dyDescent="0.2">
      <c r="A62" s="1284"/>
      <c r="B62" s="1288">
        <v>1004287</v>
      </c>
      <c r="C62" s="1287" t="s">
        <v>1275</v>
      </c>
      <c r="D62" s="1303" t="s">
        <v>61</v>
      </c>
      <c r="E62" s="1287" t="s">
        <v>1274</v>
      </c>
      <c r="F62" s="1326">
        <v>132169</v>
      </c>
      <c r="I62" s="1284"/>
      <c r="J62" s="1284"/>
    </row>
    <row r="63" spans="1:10" x14ac:dyDescent="0.2">
      <c r="A63" s="1284"/>
      <c r="B63" s="1288">
        <v>1007239</v>
      </c>
      <c r="C63" s="1287" t="s">
        <v>1273</v>
      </c>
      <c r="D63" s="1303" t="s">
        <v>735</v>
      </c>
      <c r="E63" s="1287" t="s">
        <v>1272</v>
      </c>
      <c r="F63" s="1326">
        <v>1144378.3999999999</v>
      </c>
      <c r="I63" s="1284"/>
      <c r="J63" s="1284"/>
    </row>
    <row r="64" spans="1:10" x14ac:dyDescent="0.2">
      <c r="A64" s="1284"/>
      <c r="B64" s="1288">
        <v>1002299</v>
      </c>
      <c r="C64" s="1287" t="s">
        <v>1271</v>
      </c>
      <c r="D64" s="1303" t="s">
        <v>736</v>
      </c>
      <c r="E64" s="1287" t="s">
        <v>1270</v>
      </c>
      <c r="F64" s="1326">
        <v>88801.1</v>
      </c>
      <c r="I64" s="1284"/>
      <c r="J64" s="1284"/>
    </row>
    <row r="65" spans="1:10" x14ac:dyDescent="0.2">
      <c r="A65" s="1284"/>
      <c r="B65" s="1288">
        <v>1000667</v>
      </c>
      <c r="C65" s="1287" t="s">
        <v>1269</v>
      </c>
      <c r="D65" s="1303" t="s">
        <v>737</v>
      </c>
      <c r="E65" s="1287" t="s">
        <v>1268</v>
      </c>
      <c r="F65" s="1326">
        <v>38561.599999999999</v>
      </c>
      <c r="I65" s="1284"/>
      <c r="J65" s="1284"/>
    </row>
    <row r="66" spans="1:10" x14ac:dyDescent="0.2">
      <c r="A66" s="1284"/>
      <c r="B66" s="1288">
        <v>1006651</v>
      </c>
      <c r="C66" s="1287" t="s">
        <v>1267</v>
      </c>
      <c r="D66" s="1303" t="s">
        <v>622</v>
      </c>
      <c r="E66" s="1287" t="s">
        <v>1266</v>
      </c>
      <c r="F66" s="1326">
        <v>25782.1</v>
      </c>
      <c r="I66" s="1284"/>
      <c r="J66" s="1284"/>
    </row>
    <row r="67" spans="1:10" x14ac:dyDescent="0.2">
      <c r="A67" s="1284"/>
      <c r="B67" s="1288">
        <v>1000663</v>
      </c>
      <c r="C67" s="1287" t="s">
        <v>722</v>
      </c>
      <c r="D67" s="1303" t="s">
        <v>722</v>
      </c>
      <c r="E67" s="1287" t="s">
        <v>1265</v>
      </c>
      <c r="F67" s="1326">
        <v>22262.799999999999</v>
      </c>
      <c r="I67" s="1284"/>
      <c r="J67" s="1284"/>
    </row>
    <row r="68" spans="1:10" x14ac:dyDescent="0.2">
      <c r="A68" s="1284"/>
      <c r="B68" s="1288">
        <v>1001410</v>
      </c>
      <c r="C68" s="1287" t="s">
        <v>1264</v>
      </c>
      <c r="D68" s="1303" t="s">
        <v>624</v>
      </c>
      <c r="E68" s="1287" t="s">
        <v>1263</v>
      </c>
      <c r="F68" s="1326">
        <v>1721510</v>
      </c>
      <c r="I68" s="1284"/>
      <c r="J68" s="1284"/>
    </row>
    <row r="69" spans="1:10" x14ac:dyDescent="0.2">
      <c r="A69" s="1284"/>
      <c r="B69" s="1288">
        <v>1003759</v>
      </c>
      <c r="C69" s="1287" t="s">
        <v>1262</v>
      </c>
      <c r="D69" s="1303" t="s">
        <v>616</v>
      </c>
      <c r="E69" s="1287" t="s">
        <v>1261</v>
      </c>
      <c r="F69" s="1326">
        <v>4742.7</v>
      </c>
      <c r="I69" s="1284"/>
      <c r="J69" s="1284"/>
    </row>
    <row r="70" spans="1:10" x14ac:dyDescent="0.2">
      <c r="A70" s="1284"/>
      <c r="B70" s="1288">
        <v>1009735</v>
      </c>
      <c r="C70" s="1287" t="s">
        <v>1260</v>
      </c>
      <c r="D70" s="1303" t="s">
        <v>615</v>
      </c>
      <c r="E70" s="1287" t="s">
        <v>1259</v>
      </c>
      <c r="F70" s="1326">
        <v>4343.6000000000004</v>
      </c>
      <c r="I70" s="1284"/>
      <c r="J70" s="1284"/>
    </row>
    <row r="71" spans="1:10" x14ac:dyDescent="0.2">
      <c r="A71" s="1284"/>
      <c r="B71" s="1288">
        <v>1006902</v>
      </c>
      <c r="C71" s="1287" t="s">
        <v>1258</v>
      </c>
      <c r="D71" s="1303" t="s">
        <v>738</v>
      </c>
      <c r="E71" s="1287" t="s">
        <v>1257</v>
      </c>
      <c r="F71" s="1326">
        <v>86837.6</v>
      </c>
      <c r="I71" s="1284"/>
      <c r="J71" s="1284"/>
    </row>
    <row r="72" spans="1:10" ht="13.5" thickBot="1" x14ac:dyDescent="0.25">
      <c r="A72" s="1284"/>
      <c r="B72" s="1286">
        <v>1003037</v>
      </c>
      <c r="C72" s="1285" t="s">
        <v>1256</v>
      </c>
      <c r="D72" s="1304" t="s">
        <v>738</v>
      </c>
      <c r="E72" s="1285" t="s">
        <v>1255</v>
      </c>
      <c r="F72" s="1327">
        <v>64626.1</v>
      </c>
      <c r="I72" s="1284"/>
      <c r="J72" s="1284"/>
    </row>
    <row r="73" spans="1:10" ht="36" customHeight="1" thickBot="1" x14ac:dyDescent="0.25">
      <c r="B73" s="2308" t="s">
        <v>1254</v>
      </c>
      <c r="C73" s="2309"/>
      <c r="D73" s="2309"/>
      <c r="E73" s="2309"/>
      <c r="F73" s="1040" t="s">
        <v>1253</v>
      </c>
    </row>
  </sheetData>
  <autoFilter ref="B14:F14" xr:uid="{00000000-0009-0000-0000-00000B000000}">
    <sortState ref="B15:F72">
      <sortCondition ref="D14"/>
    </sortState>
  </autoFilter>
  <mergeCells count="8">
    <mergeCell ref="B73:E73"/>
    <mergeCell ref="B2:E2"/>
    <mergeCell ref="B13:F13"/>
    <mergeCell ref="C3:E3"/>
    <mergeCell ref="C4:E4"/>
    <mergeCell ref="B9:C9"/>
    <mergeCell ref="B7:E7"/>
    <mergeCell ref="B6:E6"/>
  </mergeCells>
  <hyperlinks>
    <hyperlink ref="F73" r:id="rId1" xr:uid="{00000000-0004-0000-0B00-000000000000}"/>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249977111117893"/>
  </sheetPr>
  <dimension ref="A1:N23"/>
  <sheetViews>
    <sheetView showGridLines="0" zoomScaleNormal="100" workbookViewId="0">
      <selection activeCell="E11" sqref="E11"/>
    </sheetView>
  </sheetViews>
  <sheetFormatPr defaultRowHeight="12.75" x14ac:dyDescent="0.2"/>
  <cols>
    <col min="1" max="1" width="2.7109375" style="28" customWidth="1"/>
    <col min="2" max="2" width="12" style="6" bestFit="1" customWidth="1"/>
    <col min="3" max="3" width="22.28515625" style="6" customWidth="1"/>
    <col min="4" max="8" width="16" style="6" customWidth="1"/>
    <col min="9" max="9" width="14.42578125" style="6" customWidth="1"/>
    <col min="10" max="10" width="18.85546875" style="6" customWidth="1"/>
    <col min="11" max="11" width="16.28515625" style="6" customWidth="1"/>
    <col min="12" max="12" width="10.28515625" style="6" bestFit="1" customWidth="1"/>
    <col min="13" max="13" width="16.5703125" style="6" bestFit="1" customWidth="1"/>
    <col min="14" max="14" width="16.28515625" style="6" customWidth="1"/>
    <col min="15" max="15" width="12.28515625" style="6" bestFit="1" customWidth="1"/>
    <col min="16" max="16" width="10.28515625" style="6" bestFit="1" customWidth="1"/>
    <col min="17" max="16384" width="9.140625" style="6"/>
  </cols>
  <sheetData>
    <row r="1" spans="2:14" s="28" customFormat="1" ht="13.5" thickBot="1" x14ac:dyDescent="0.25"/>
    <row r="2" spans="2:14" ht="24" thickBot="1" x14ac:dyDescent="0.25">
      <c r="B2" s="2284" t="s">
        <v>1445</v>
      </c>
      <c r="C2" s="2285"/>
      <c r="D2" s="2285"/>
      <c r="E2" s="2285"/>
      <c r="F2" s="2285"/>
      <c r="G2" s="2286"/>
      <c r="I2" s="302"/>
    </row>
    <row r="3" spans="2:14" s="28" customFormat="1" ht="15.75" customHeight="1" x14ac:dyDescent="0.2">
      <c r="B3" s="303" t="s">
        <v>247</v>
      </c>
      <c r="C3" s="2230" t="s">
        <v>10</v>
      </c>
      <c r="D3" s="2231"/>
      <c r="E3" s="2231"/>
      <c r="F3" s="2231"/>
      <c r="G3" s="2232"/>
      <c r="H3" s="111"/>
      <c r="I3" s="111"/>
    </row>
    <row r="4" spans="2:14" s="28" customFormat="1" ht="15.75" customHeight="1" thickBot="1" x14ac:dyDescent="0.25">
      <c r="B4" s="225" t="s">
        <v>248</v>
      </c>
      <c r="C4" s="2233" t="s">
        <v>253</v>
      </c>
      <c r="D4" s="2220"/>
      <c r="E4" s="2220"/>
      <c r="F4" s="2220"/>
      <c r="G4" s="2221"/>
      <c r="H4" s="111"/>
      <c r="I4" s="111"/>
    </row>
    <row r="5" spans="2:14" s="28" customFormat="1" ht="17.25" customHeight="1" thickBot="1" x14ac:dyDescent="0.25">
      <c r="B5" s="214"/>
      <c r="C5" s="214"/>
      <c r="D5" s="214"/>
      <c r="E5" s="214"/>
      <c r="F5" s="111"/>
      <c r="G5" s="111"/>
      <c r="H5" s="111"/>
      <c r="I5" s="111"/>
    </row>
    <row r="6" spans="2:14" s="28" customFormat="1" ht="18" customHeight="1" thickBot="1" x14ac:dyDescent="0.25">
      <c r="B6" s="1968" t="s">
        <v>91</v>
      </c>
      <c r="C6" s="1974"/>
      <c r="D6" s="1974"/>
      <c r="E6" s="1974"/>
      <c r="F6" s="1974"/>
      <c r="G6" s="1975"/>
      <c r="H6" s="111"/>
      <c r="I6" s="111"/>
    </row>
    <row r="7" spans="2:14" s="28" customFormat="1" ht="159" customHeight="1" thickBot="1" x14ac:dyDescent="0.25">
      <c r="B7" s="2093" t="s">
        <v>1395</v>
      </c>
      <c r="C7" s="2220"/>
      <c r="D7" s="2220"/>
      <c r="E7" s="2220"/>
      <c r="F7" s="2220"/>
      <c r="G7" s="2221"/>
      <c r="H7" s="111"/>
      <c r="I7" s="111"/>
    </row>
    <row r="8" spans="2:14" ht="13.5" thickBot="1" x14ac:dyDescent="0.25">
      <c r="B8" s="112"/>
      <c r="C8" s="112"/>
      <c r="D8" s="112"/>
      <c r="E8" s="112"/>
      <c r="F8" s="112"/>
      <c r="G8" s="112"/>
      <c r="H8" s="112"/>
      <c r="I8" s="112"/>
      <c r="J8" s="112"/>
    </row>
    <row r="9" spans="2:14" s="28" customFormat="1" ht="16.5" customHeight="1" thickBot="1" x14ac:dyDescent="0.25">
      <c r="B9" s="1968" t="s">
        <v>230</v>
      </c>
      <c r="C9" s="2217"/>
      <c r="D9" s="2217"/>
      <c r="E9" s="2217"/>
      <c r="F9" s="2217"/>
      <c r="G9" s="2217"/>
      <c r="H9" s="2217"/>
      <c r="I9" s="2217"/>
      <c r="J9" s="1959"/>
    </row>
    <row r="10" spans="2:14" s="28" customFormat="1" ht="57" customHeight="1" thickBot="1" x14ac:dyDescent="0.25">
      <c r="B10" s="119" t="s">
        <v>85</v>
      </c>
      <c r="C10" s="120" t="s">
        <v>73</v>
      </c>
      <c r="D10" s="430" t="s">
        <v>360</v>
      </c>
      <c r="E10" s="430" t="s">
        <v>221</v>
      </c>
      <c r="F10" s="430" t="s">
        <v>96</v>
      </c>
      <c r="G10" s="187" t="s">
        <v>209</v>
      </c>
      <c r="H10" s="464" t="s">
        <v>358</v>
      </c>
      <c r="I10" s="430" t="s">
        <v>303</v>
      </c>
      <c r="J10" s="429" t="s">
        <v>359</v>
      </c>
      <c r="K10" s="12"/>
      <c r="L10" s="11"/>
      <c r="M10" s="10"/>
      <c r="N10" s="10"/>
    </row>
    <row r="11" spans="2:14" s="28" customFormat="1" x14ac:dyDescent="0.2">
      <c r="B11" s="2329" t="s">
        <v>18</v>
      </c>
      <c r="C11" s="124" t="s">
        <v>54</v>
      </c>
      <c r="D11" s="955"/>
      <c r="E11" s="124">
        <f>'Transportation - On Road'!D11</f>
        <v>0</v>
      </c>
      <c r="F11" s="955"/>
      <c r="G11" s="961"/>
      <c r="H11" s="1041"/>
      <c r="I11" s="405">
        <f>'Transportation - On Road'!G11</f>
        <v>0</v>
      </c>
      <c r="J11" s="1042"/>
      <c r="K11" s="199"/>
      <c r="L11" s="11"/>
      <c r="M11" s="10"/>
      <c r="N11" s="10"/>
    </row>
    <row r="12" spans="2:14" s="28" customFormat="1" x14ac:dyDescent="0.2">
      <c r="B12" s="2051"/>
      <c r="C12" s="125" t="s">
        <v>8</v>
      </c>
      <c r="D12" s="125" t="e">
        <f>'Transportation - On Road'!C12</f>
        <v>#DIV/0!</v>
      </c>
      <c r="E12" s="947"/>
      <c r="F12" s="947"/>
      <c r="G12" s="958"/>
      <c r="H12" s="452" t="e">
        <f>'Transportation - On Road'!F12</f>
        <v>#DIV/0!</v>
      </c>
      <c r="I12" s="404" t="e">
        <f>'Transportation - On Road'!G12</f>
        <v>#DIV/0!</v>
      </c>
      <c r="J12" s="435" t="e">
        <f>'Transportation - On Road'!H12</f>
        <v>#DIV/0!</v>
      </c>
      <c r="K12" s="12"/>
      <c r="L12" s="11"/>
      <c r="M12" s="10"/>
      <c r="N12" s="10"/>
    </row>
    <row r="13" spans="2:14" s="28" customFormat="1" x14ac:dyDescent="0.2">
      <c r="B13" s="2051"/>
      <c r="C13" s="125" t="s">
        <v>6</v>
      </c>
      <c r="D13" s="947"/>
      <c r="E13" s="947"/>
      <c r="F13" s="125" t="e">
        <f>'Transportation - On Road'!E13</f>
        <v>#DIV/0!</v>
      </c>
      <c r="G13" s="958"/>
      <c r="H13" s="452" t="e">
        <f>'Transportation - On Road'!F13</f>
        <v>#DIV/0!</v>
      </c>
      <c r="I13" s="404" t="e">
        <f>'Transportation - On Road'!G13</f>
        <v>#DIV/0!</v>
      </c>
      <c r="J13" s="510" t="e">
        <f>'Transportation - On Road'!H13</f>
        <v>#DIV/0!</v>
      </c>
      <c r="K13" s="12"/>
      <c r="L13" s="11"/>
      <c r="M13" s="10"/>
      <c r="N13" s="10"/>
    </row>
    <row r="14" spans="2:14" s="28" customFormat="1" x14ac:dyDescent="0.2">
      <c r="B14" s="2051"/>
      <c r="C14" s="125" t="s">
        <v>226</v>
      </c>
      <c r="D14" s="947"/>
      <c r="E14" s="947"/>
      <c r="F14" s="947"/>
      <c r="G14" s="186" t="e">
        <f>'Transportation - On Road'!E96</f>
        <v>#DIV/0!</v>
      </c>
      <c r="H14" s="508" t="e">
        <f>'Transportation - On Road'!F14</f>
        <v>#DIV/0!</v>
      </c>
      <c r="I14" s="125" t="e">
        <f>'Transportation - On Road'!G14</f>
        <v>#DIV/0!</v>
      </c>
      <c r="J14" s="511" t="e">
        <f>'Transportation - On Road'!H14</f>
        <v>#DIV/0!</v>
      </c>
      <c r="K14" s="199"/>
      <c r="L14" s="11"/>
      <c r="M14" s="10"/>
      <c r="N14" s="10"/>
    </row>
    <row r="15" spans="2:14" s="28" customFormat="1" x14ac:dyDescent="0.2">
      <c r="B15" s="2051"/>
      <c r="C15" s="126" t="s">
        <v>9</v>
      </c>
      <c r="D15" s="126" t="e">
        <f>'Transportation - On Road'!C15</f>
        <v>#DIV/0!</v>
      </c>
      <c r="E15" s="949"/>
      <c r="F15" s="949"/>
      <c r="G15" s="959"/>
      <c r="H15" s="451" t="e">
        <f>'Transportation - On Road'!F15</f>
        <v>#DIV/0!</v>
      </c>
      <c r="I15" s="431" t="e">
        <f>'Transportation - On Road'!G15</f>
        <v>#DIV/0!</v>
      </c>
      <c r="J15" s="436" t="e">
        <f>'Transportation - On Road'!H15</f>
        <v>#DIV/0!</v>
      </c>
      <c r="K15" s="12"/>
      <c r="L15" s="11"/>
      <c r="M15" s="10"/>
      <c r="N15" s="10"/>
    </row>
    <row r="16" spans="2:14" s="28" customFormat="1" ht="13.5" thickBot="1" x14ac:dyDescent="0.25">
      <c r="B16" s="2052"/>
      <c r="C16" s="2326" t="s">
        <v>356</v>
      </c>
      <c r="D16" s="2327"/>
      <c r="E16" s="2327"/>
      <c r="F16" s="2327"/>
      <c r="G16" s="2328"/>
      <c r="H16" s="450" t="e">
        <f>SUM(H11:H15)</f>
        <v>#DIV/0!</v>
      </c>
      <c r="I16" s="432" t="e">
        <f t="shared" ref="I16:J16" si="0">SUM(I11:I15)</f>
        <v>#DIV/0!</v>
      </c>
      <c r="J16" s="433" t="e">
        <f t="shared" si="0"/>
        <v>#DIV/0!</v>
      </c>
      <c r="K16" s="12"/>
      <c r="L16" s="11"/>
      <c r="M16" s="10"/>
      <c r="N16" s="10"/>
    </row>
    <row r="17" spans="2:14" s="28" customFormat="1" x14ac:dyDescent="0.2">
      <c r="B17" s="2057" t="s">
        <v>219</v>
      </c>
      <c r="C17" s="125" t="s">
        <v>8</v>
      </c>
      <c r="D17" s="125">
        <f>'Transportation - Rail'!C11</f>
        <v>0</v>
      </c>
      <c r="E17" s="947"/>
      <c r="F17" s="947"/>
      <c r="G17" s="958"/>
      <c r="H17" s="449">
        <f>'Transportation - Rail'!E11</f>
        <v>0</v>
      </c>
      <c r="I17" s="404">
        <f>'Transportation - Rail'!F11</f>
        <v>0</v>
      </c>
      <c r="J17" s="510">
        <f>'Transportation - Rail'!G11</f>
        <v>0</v>
      </c>
      <c r="K17" s="12"/>
      <c r="L17" s="11"/>
      <c r="M17" s="10"/>
      <c r="N17" s="10"/>
    </row>
    <row r="18" spans="2:14" s="28" customFormat="1" x14ac:dyDescent="0.2">
      <c r="B18" s="2051"/>
      <c r="C18" s="125" t="s">
        <v>6</v>
      </c>
      <c r="D18" s="947"/>
      <c r="E18" s="947"/>
      <c r="F18" s="125">
        <f>'Transportation - Rail'!D12</f>
        <v>0</v>
      </c>
      <c r="G18" s="958"/>
      <c r="H18" s="449">
        <f>'Transportation - Rail'!E12</f>
        <v>0</v>
      </c>
      <c r="I18" s="404">
        <f>'Transportation - Rail'!F12</f>
        <v>0</v>
      </c>
      <c r="J18" s="407">
        <f>'Transportation - Rail'!G12</f>
        <v>0</v>
      </c>
      <c r="K18" s="12"/>
      <c r="L18" s="11"/>
      <c r="M18" s="10"/>
      <c r="N18" s="10"/>
    </row>
    <row r="19" spans="2:14" s="28" customFormat="1" x14ac:dyDescent="0.2">
      <c r="B19" s="2051"/>
      <c r="C19" s="126" t="s">
        <v>226</v>
      </c>
      <c r="D19" s="949"/>
      <c r="E19" s="949"/>
      <c r="F19" s="949"/>
      <c r="G19" s="195">
        <f>'Transportation - Rail'!D13</f>
        <v>0</v>
      </c>
      <c r="H19" s="446">
        <f>'Transportation - Rail'!E13</f>
        <v>0</v>
      </c>
      <c r="I19" s="126">
        <f>'Transportation - Rail'!F13</f>
        <v>0</v>
      </c>
      <c r="J19" s="509">
        <f>'Transportation - Rail'!G13</f>
        <v>0</v>
      </c>
      <c r="K19" s="12"/>
      <c r="L19" s="11"/>
      <c r="M19" s="10"/>
      <c r="N19" s="10"/>
    </row>
    <row r="20" spans="2:14" s="28" customFormat="1" ht="13.5" thickBot="1" x14ac:dyDescent="0.25">
      <c r="B20" s="2052"/>
      <c r="C20" s="2326" t="s">
        <v>355</v>
      </c>
      <c r="D20" s="2327"/>
      <c r="E20" s="2327"/>
      <c r="F20" s="2327"/>
      <c r="G20" s="2328"/>
      <c r="H20" s="442">
        <f>SUM(H17:H19)</f>
        <v>0</v>
      </c>
      <c r="I20" s="432">
        <f t="shared" ref="I20:J20" si="1">SUM(I17:I19)</f>
        <v>0</v>
      </c>
      <c r="J20" s="434">
        <f t="shared" si="1"/>
        <v>0</v>
      </c>
      <c r="K20" s="12"/>
      <c r="L20" s="11"/>
      <c r="M20" s="10"/>
      <c r="N20" s="10"/>
    </row>
    <row r="21" spans="2:14" s="28" customFormat="1" ht="13.5" thickBot="1" x14ac:dyDescent="0.25">
      <c r="B21" s="2323" t="s">
        <v>357</v>
      </c>
      <c r="C21" s="2324"/>
      <c r="D21" s="2324"/>
      <c r="E21" s="2324"/>
      <c r="F21" s="2324"/>
      <c r="G21" s="2325"/>
      <c r="H21" s="448" t="e">
        <f>SUM(H16,H20)</f>
        <v>#DIV/0!</v>
      </c>
      <c r="I21" s="512" t="e">
        <f t="shared" ref="I21:J21" si="2">SUM(I16,I20)</f>
        <v>#DIV/0!</v>
      </c>
      <c r="J21" s="437" t="e">
        <f t="shared" si="2"/>
        <v>#DIV/0!</v>
      </c>
      <c r="K21" s="12"/>
      <c r="L21" s="11"/>
      <c r="M21" s="10"/>
      <c r="N21" s="10"/>
    </row>
    <row r="22" spans="2:14" s="28" customFormat="1" x14ac:dyDescent="0.2">
      <c r="B22" s="9"/>
      <c r="C22" s="10"/>
      <c r="D22" s="10"/>
      <c r="E22" s="10"/>
      <c r="F22" s="10"/>
      <c r="G22" s="10"/>
      <c r="H22" s="12"/>
      <c r="I22" s="12"/>
      <c r="J22" s="11"/>
      <c r="K22" s="10"/>
      <c r="L22" s="10"/>
    </row>
    <row r="23" spans="2:14" s="28" customFormat="1" x14ac:dyDescent="0.2">
      <c r="I23" s="12"/>
      <c r="J23" s="11"/>
      <c r="K23" s="10"/>
      <c r="L23" s="10"/>
    </row>
  </sheetData>
  <mergeCells count="11">
    <mergeCell ref="B2:G2"/>
    <mergeCell ref="C3:G3"/>
    <mergeCell ref="C4:G4"/>
    <mergeCell ref="B6:G6"/>
    <mergeCell ref="B7:G7"/>
    <mergeCell ref="B9:J9"/>
    <mergeCell ref="B21:G21"/>
    <mergeCell ref="B17:B20"/>
    <mergeCell ref="C16:G16"/>
    <mergeCell ref="C20:G20"/>
    <mergeCell ref="B11:B16"/>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AH573"/>
  <sheetViews>
    <sheetView showGridLines="0" topLeftCell="A31" zoomScaleNormal="100" workbookViewId="0">
      <selection activeCell="C43" sqref="C43"/>
    </sheetView>
  </sheetViews>
  <sheetFormatPr defaultRowHeight="12.75" x14ac:dyDescent="0.2"/>
  <cols>
    <col min="1" max="1" width="2.7109375" style="6" customWidth="1"/>
    <col min="2" max="2" width="42.140625" customWidth="1"/>
    <col min="3" max="3" width="21.5703125" customWidth="1"/>
    <col min="4" max="4" width="20.140625" customWidth="1"/>
    <col min="5" max="5" width="17.85546875" customWidth="1"/>
    <col min="6" max="8" width="18.28515625" style="6" customWidth="1"/>
    <col min="9" max="9" width="17.85546875" style="6" customWidth="1"/>
    <col min="10" max="10" width="18.85546875" style="6" bestFit="1" customWidth="1"/>
    <col min="11" max="11" width="15.5703125" style="6" customWidth="1"/>
    <col min="12" max="12" width="18.85546875" style="6" customWidth="1"/>
    <col min="13" max="13" width="16.42578125" style="6" customWidth="1"/>
    <col min="14" max="14" width="15.7109375" style="6" customWidth="1"/>
    <col min="15" max="15" width="17.5703125" style="6" customWidth="1"/>
    <col min="16" max="18" width="14.7109375" style="6" customWidth="1"/>
    <col min="19" max="29" width="17" style="6" customWidth="1"/>
    <col min="30" max="34" width="9.140625" style="6"/>
  </cols>
  <sheetData>
    <row r="1" spans="1:34" s="27" customFormat="1" ht="15.75" thickBot="1" x14ac:dyDescent="0.3">
      <c r="A1" s="16"/>
      <c r="B1" s="16"/>
      <c r="C1" s="16"/>
      <c r="D1" s="16"/>
      <c r="E1" s="16"/>
      <c r="F1" s="16"/>
      <c r="G1" s="16"/>
      <c r="H1" s="16"/>
      <c r="I1" s="16"/>
      <c r="J1" s="16"/>
      <c r="K1" s="28"/>
      <c r="L1" s="28"/>
      <c r="M1" s="28"/>
      <c r="N1" s="28"/>
      <c r="O1" s="28"/>
      <c r="P1" s="28"/>
      <c r="Q1" s="28"/>
      <c r="R1" s="28"/>
      <c r="S1" s="28"/>
      <c r="T1" s="28"/>
      <c r="U1" s="28"/>
      <c r="V1" s="28"/>
      <c r="W1" s="28"/>
      <c r="X1" s="28"/>
      <c r="Y1" s="28"/>
      <c r="Z1" s="28"/>
      <c r="AA1" s="28"/>
      <c r="AB1" s="28"/>
      <c r="AC1" s="28"/>
      <c r="AD1" s="28"/>
      <c r="AE1" s="28"/>
      <c r="AF1" s="28"/>
      <c r="AG1" s="28"/>
      <c r="AH1" s="28"/>
    </row>
    <row r="2" spans="1:34" s="27" customFormat="1" ht="24.75" customHeight="1" thickBot="1" x14ac:dyDescent="0.25">
      <c r="A2" s="28"/>
      <c r="B2" s="2352" t="s">
        <v>1446</v>
      </c>
      <c r="C2" s="2353"/>
      <c r="D2" s="2353"/>
      <c r="E2" s="2354"/>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row>
    <row r="3" spans="1:34" s="27" customFormat="1" x14ac:dyDescent="0.2">
      <c r="A3" s="28"/>
      <c r="B3" s="224" t="s">
        <v>247</v>
      </c>
      <c r="C3" s="2230" t="s">
        <v>10</v>
      </c>
      <c r="D3" s="2267"/>
      <c r="E3" s="226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row>
    <row r="4" spans="1:34" s="27" customFormat="1" ht="13.5" thickBot="1" x14ac:dyDescent="0.25">
      <c r="A4" s="28"/>
      <c r="B4" s="225" t="s">
        <v>250</v>
      </c>
      <c r="C4" s="2269" t="s">
        <v>18</v>
      </c>
      <c r="D4" s="2113"/>
      <c r="E4" s="2270"/>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row>
    <row r="5" spans="1:34" s="27" customFormat="1" ht="13.5" thickBot="1" x14ac:dyDescent="0.25">
      <c r="A5" s="28"/>
      <c r="B5" s="214"/>
      <c r="C5" s="214"/>
      <c r="D5" s="214"/>
      <c r="E5" s="214"/>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row>
    <row r="6" spans="1:34" s="27" customFormat="1" ht="15.75" thickBot="1" x14ac:dyDescent="0.25">
      <c r="A6" s="28"/>
      <c r="B6" s="1968" t="s">
        <v>91</v>
      </c>
      <c r="C6" s="1974"/>
      <c r="D6" s="1974"/>
      <c r="E6" s="1975"/>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row>
    <row r="7" spans="1:34" s="27" customFormat="1" ht="109.5" customHeight="1" thickBot="1" x14ac:dyDescent="0.25">
      <c r="A7" s="28"/>
      <c r="B7" s="2093" t="s">
        <v>1399</v>
      </c>
      <c r="C7" s="2094"/>
      <c r="D7" s="2094"/>
      <c r="E7" s="2095"/>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row>
    <row r="8" spans="1:34" s="16" customFormat="1" ht="15" customHeight="1" thickBot="1" x14ac:dyDescent="0.3">
      <c r="A8" s="2355"/>
      <c r="B8" s="2355"/>
      <c r="C8" s="2355"/>
      <c r="D8" s="2355"/>
      <c r="E8" s="2355"/>
      <c r="F8" s="2355"/>
    </row>
    <row r="9" spans="1:34" s="16" customFormat="1" ht="15" customHeight="1" thickBot="1" x14ac:dyDescent="0.3">
      <c r="A9" s="113"/>
      <c r="B9" s="2362" t="s">
        <v>104</v>
      </c>
      <c r="C9" s="2181"/>
      <c r="D9" s="2181"/>
      <c r="E9" s="2181"/>
      <c r="F9" s="2010"/>
      <c r="G9" s="2010"/>
      <c r="H9" s="2011"/>
    </row>
    <row r="10" spans="1:34" s="16" customFormat="1" ht="38.25" x14ac:dyDescent="0.25">
      <c r="A10" s="113"/>
      <c r="B10" s="363" t="s">
        <v>73</v>
      </c>
      <c r="C10" s="121" t="s">
        <v>360</v>
      </c>
      <c r="D10" s="121" t="s">
        <v>221</v>
      </c>
      <c r="E10" s="392" t="s">
        <v>96</v>
      </c>
      <c r="F10" s="409" t="s">
        <v>334</v>
      </c>
      <c r="G10" s="122" t="s">
        <v>335</v>
      </c>
      <c r="H10" s="389" t="s">
        <v>361</v>
      </c>
    </row>
    <row r="11" spans="1:34" s="16" customFormat="1" ht="15" x14ac:dyDescent="0.25">
      <c r="A11" s="185"/>
      <c r="B11" s="326" t="s">
        <v>54</v>
      </c>
      <c r="C11" s="1241"/>
      <c r="D11" s="176">
        <f>SUM(L79,K89)</f>
        <v>0</v>
      </c>
      <c r="E11" s="415"/>
      <c r="F11" s="410"/>
      <c r="G11" s="176">
        <f>SUM(M79,L89)</f>
        <v>0</v>
      </c>
      <c r="H11" s="411"/>
    </row>
    <row r="12" spans="1:34" s="16" customFormat="1" ht="15" x14ac:dyDescent="0.25">
      <c r="A12" s="185"/>
      <c r="B12" s="200" t="s">
        <v>8</v>
      </c>
      <c r="C12" s="182" t="e">
        <f>SUM(E29,C60,G79,G77,G89)</f>
        <v>#DIV/0!</v>
      </c>
      <c r="D12" s="198"/>
      <c r="E12" s="416"/>
      <c r="F12" s="412" t="e">
        <f>SUM(G29,D60,H77,H79,H89)</f>
        <v>#DIV/0!</v>
      </c>
      <c r="G12" s="182" t="e">
        <f>SUM(H29,E60,I77,I79,I89)</f>
        <v>#DIV/0!</v>
      </c>
      <c r="H12" s="413" t="e">
        <f>SUM(I29,F60,J77,J79,J89)</f>
        <v>#DIV/0!</v>
      </c>
    </row>
    <row r="13" spans="1:34" s="16" customFormat="1" ht="15" x14ac:dyDescent="0.25">
      <c r="A13" s="185"/>
      <c r="B13" s="200" t="s">
        <v>6</v>
      </c>
      <c r="C13" s="183"/>
      <c r="D13" s="183"/>
      <c r="E13" s="1273" t="e">
        <f>SUM(F32,P77,P78,M89)</f>
        <v>#DIV/0!</v>
      </c>
      <c r="F13" s="412" t="e">
        <f>SUM(G32,Q77,Q78,N89)</f>
        <v>#DIV/0!</v>
      </c>
      <c r="G13" s="182" t="e">
        <f>SUM(H32,R77,R78,O89)</f>
        <v>#DIV/0!</v>
      </c>
      <c r="H13" s="417" t="e">
        <f>SUM(I32,S77,S78,P89)</f>
        <v>#DIV/0!</v>
      </c>
    </row>
    <row r="14" spans="1:34" s="16" customFormat="1" ht="15" x14ac:dyDescent="0.25">
      <c r="A14" s="361"/>
      <c r="B14" s="200" t="s">
        <v>226</v>
      </c>
      <c r="C14" s="183"/>
      <c r="D14" s="183"/>
      <c r="E14" s="1273" t="e">
        <f>E98</f>
        <v>#DIV/0!</v>
      </c>
      <c r="F14" s="418" t="e">
        <f>F98</f>
        <v>#DIV/0!</v>
      </c>
      <c r="G14" s="182" t="e">
        <f t="shared" ref="G14:H14" si="0">G98</f>
        <v>#DIV/0!</v>
      </c>
      <c r="H14" s="419" t="e">
        <f t="shared" si="0"/>
        <v>#DIV/0!</v>
      </c>
    </row>
    <row r="15" spans="1:34" s="16" customFormat="1" ht="15" x14ac:dyDescent="0.25">
      <c r="A15" s="185"/>
      <c r="B15" s="420" t="s">
        <v>9</v>
      </c>
      <c r="C15" s="177" t="e">
        <f>SUM(C89,C59,E28,E30,E31)</f>
        <v>#DIV/0!</v>
      </c>
      <c r="D15" s="421"/>
      <c r="E15" s="422"/>
      <c r="F15" s="423" t="e">
        <f>SUM(D89,D59,G28,G30,G31)</f>
        <v>#DIV/0!</v>
      </c>
      <c r="G15" s="177" t="e">
        <f>SUM(E89,E59,H28,H30,H31)</f>
        <v>#DIV/0!</v>
      </c>
      <c r="H15" s="424" t="e">
        <f>SUM(F89,F59,I28,I30,I31)</f>
        <v>#DIV/0!</v>
      </c>
    </row>
    <row r="16" spans="1:34" s="16" customFormat="1" ht="15.75" thickBot="1" x14ac:dyDescent="0.3">
      <c r="A16" s="185"/>
      <c r="B16" s="414" t="s">
        <v>227</v>
      </c>
      <c r="C16" s="425" t="e">
        <f>SUM(C11:C15)</f>
        <v>#DIV/0!</v>
      </c>
      <c r="D16" s="425">
        <f>SUM(D11:D15)</f>
        <v>0</v>
      </c>
      <c r="E16" s="426" t="e">
        <f>SUM(E11:E15)</f>
        <v>#DIV/0!</v>
      </c>
      <c r="F16" s="427" t="e">
        <f t="shared" ref="F16:H16" si="1">SUM(F11:F15)</f>
        <v>#DIV/0!</v>
      </c>
      <c r="G16" s="179" t="e">
        <f t="shared" si="1"/>
        <v>#DIV/0!</v>
      </c>
      <c r="H16" s="406" t="e">
        <f t="shared" si="1"/>
        <v>#DIV/0!</v>
      </c>
    </row>
    <row r="17" spans="1:13" s="16" customFormat="1" ht="27.75" customHeight="1" thickBot="1" x14ac:dyDescent="0.3">
      <c r="A17" s="113"/>
      <c r="B17" s="2363" t="s">
        <v>1642</v>
      </c>
      <c r="C17" s="1965"/>
      <c r="D17" s="1966"/>
      <c r="E17" s="185"/>
      <c r="H17" s="113"/>
    </row>
    <row r="18" spans="1:13" s="6" customFormat="1" ht="13.5" thickBot="1" x14ac:dyDescent="0.25">
      <c r="C18" s="13"/>
    </row>
    <row r="19" spans="1:13" s="28" customFormat="1" ht="15.75" thickBot="1" x14ac:dyDescent="0.3">
      <c r="B19" s="1964" t="s">
        <v>1233</v>
      </c>
      <c r="C19" s="2238"/>
      <c r="D19" s="2238"/>
      <c r="E19" s="2238"/>
      <c r="F19" s="2238"/>
      <c r="G19" s="2238"/>
      <c r="H19" s="2238"/>
      <c r="I19" s="2238"/>
      <c r="J19" s="2238"/>
      <c r="K19" s="2238"/>
      <c r="L19" s="1965"/>
      <c r="M19" s="1966"/>
    </row>
    <row r="20" spans="1:13" s="28" customFormat="1" ht="38.25" x14ac:dyDescent="0.2">
      <c r="B20" s="338" t="s">
        <v>73</v>
      </c>
      <c r="C20" s="121" t="s">
        <v>1684</v>
      </c>
      <c r="D20" s="820" t="s">
        <v>362</v>
      </c>
      <c r="E20" s="820" t="s">
        <v>377</v>
      </c>
      <c r="F20" s="820" t="s">
        <v>224</v>
      </c>
      <c r="G20" s="820" t="s">
        <v>378</v>
      </c>
      <c r="H20" s="121" t="s">
        <v>363</v>
      </c>
      <c r="I20" s="121" t="s">
        <v>364</v>
      </c>
      <c r="J20" s="121" t="s">
        <v>365</v>
      </c>
      <c r="K20" s="351" t="s">
        <v>375</v>
      </c>
      <c r="L20" s="121" t="s">
        <v>379</v>
      </c>
      <c r="M20" s="123" t="s">
        <v>380</v>
      </c>
    </row>
    <row r="21" spans="1:13" s="28" customFormat="1" x14ac:dyDescent="0.2">
      <c r="B21" s="1043" t="s">
        <v>9</v>
      </c>
      <c r="C21" s="1044" t="e">
        <f>SUM(D28,D30,D31)</f>
        <v>#DIV/0!</v>
      </c>
      <c r="D21" s="1044" t="e">
        <f>SUM(E28,E30,E31)</f>
        <v>#DIV/0!</v>
      </c>
      <c r="E21" s="1045" t="e">
        <f>C21/D21</f>
        <v>#DIV/0!</v>
      </c>
      <c r="F21" s="1046"/>
      <c r="G21" s="1046"/>
      <c r="H21" s="1047" t="e">
        <f>SUM(G28,G30,G31)</f>
        <v>#DIV/0!</v>
      </c>
      <c r="I21" s="1044" t="e">
        <f>SUM(H28,H30,H31)</f>
        <v>#DIV/0!</v>
      </c>
      <c r="J21" s="1047" t="e">
        <f>SUM(I28,I30,I31)</f>
        <v>#DIV/0!</v>
      </c>
      <c r="K21" s="1048" t="e">
        <f>(H21*'Emission Factors'!$B$126)+(I21)+(J21*'Emission Factors'!$C$126)</f>
        <v>#DIV/0!</v>
      </c>
      <c r="L21" s="1049" t="e">
        <f>K21/D21</f>
        <v>#DIV/0!</v>
      </c>
      <c r="M21" s="1050"/>
    </row>
    <row r="22" spans="1:13" s="28" customFormat="1" x14ac:dyDescent="0.2">
      <c r="B22" s="210" t="s">
        <v>8</v>
      </c>
      <c r="C22" s="181" t="e">
        <f>D29</f>
        <v>#DIV/0!</v>
      </c>
      <c r="D22" s="181" t="e">
        <f>E29</f>
        <v>#DIV/0!</v>
      </c>
      <c r="E22" s="403" t="e">
        <f>C22/D22</f>
        <v>#DIV/0!</v>
      </c>
      <c r="F22" s="183"/>
      <c r="G22" s="183"/>
      <c r="H22" s="402" t="e">
        <f>G29</f>
        <v>#DIV/0!</v>
      </c>
      <c r="I22" s="181" t="e">
        <f>H29</f>
        <v>#DIV/0!</v>
      </c>
      <c r="J22" s="402" t="e">
        <f>I29</f>
        <v>#DIV/0!</v>
      </c>
      <c r="K22" s="557" t="e">
        <f>(H22*'Emission Factors'!$B$126)+(I22)+(J22*'Emission Factors'!$C$126)</f>
        <v>#DIV/0!</v>
      </c>
      <c r="L22" s="559" t="e">
        <f>K22/D22</f>
        <v>#DIV/0!</v>
      </c>
      <c r="M22" s="556"/>
    </row>
    <row r="23" spans="1:13" s="28" customFormat="1" ht="13.5" thickBot="1" x14ac:dyDescent="0.25">
      <c r="B23" s="368" t="s">
        <v>376</v>
      </c>
      <c r="C23" s="551" t="e">
        <f>D32</f>
        <v>#DIV/0!</v>
      </c>
      <c r="D23" s="552"/>
      <c r="E23" s="552"/>
      <c r="F23" s="551" t="e">
        <f>F32</f>
        <v>#DIV/0!</v>
      </c>
      <c r="G23" s="553" t="e">
        <f>F23/C23</f>
        <v>#DIV/0!</v>
      </c>
      <c r="H23" s="554" t="e">
        <f>G32+F96</f>
        <v>#DIV/0!</v>
      </c>
      <c r="I23" s="555" t="e">
        <f>H32+G96</f>
        <v>#DIV/0!</v>
      </c>
      <c r="J23" s="554" t="e">
        <f>I32+H96</f>
        <v>#DIV/0!</v>
      </c>
      <c r="K23" s="558" t="e">
        <f>(H23*'Emission Factors'!$B$126)+(I23)+(J23*'Emission Factors'!$C$126)</f>
        <v>#DIV/0!</v>
      </c>
      <c r="L23" s="560"/>
      <c r="M23" s="561" t="e">
        <f>K23/F23</f>
        <v>#DIV/0!</v>
      </c>
    </row>
    <row r="24" spans="1:13" s="28" customFormat="1" ht="13.5" thickBot="1" x14ac:dyDescent="0.25">
      <c r="C24" s="13"/>
    </row>
    <row r="25" spans="1:13" s="28" customFormat="1" ht="14.25" thickBot="1" x14ac:dyDescent="0.3">
      <c r="B25" s="1964" t="s">
        <v>1234</v>
      </c>
      <c r="C25" s="1965"/>
      <c r="D25" s="1965"/>
      <c r="E25" s="1965"/>
      <c r="F25" s="1965"/>
      <c r="G25" s="1965"/>
      <c r="H25" s="1965"/>
      <c r="I25" s="1966"/>
    </row>
    <row r="26" spans="1:13" s="28" customFormat="1" ht="39" thickBot="1" x14ac:dyDescent="0.25">
      <c r="B26" s="127" t="s">
        <v>972</v>
      </c>
      <c r="C26" s="128" t="s">
        <v>74</v>
      </c>
      <c r="D26" s="121" t="s">
        <v>1684</v>
      </c>
      <c r="E26" s="130" t="s">
        <v>362</v>
      </c>
      <c r="F26" s="129" t="s">
        <v>224</v>
      </c>
      <c r="G26" s="351" t="s">
        <v>363</v>
      </c>
      <c r="H26" s="351" t="s">
        <v>364</v>
      </c>
      <c r="I26" s="123" t="s">
        <v>365</v>
      </c>
    </row>
    <row r="27" spans="1:13" s="28" customFormat="1" x14ac:dyDescent="0.2">
      <c r="B27" s="342" t="s">
        <v>388</v>
      </c>
      <c r="C27" s="515" t="e">
        <f>SUM(F37,F48)</f>
        <v>#DIV/0!</v>
      </c>
      <c r="D27" s="515" t="e">
        <f>SUM(I37,I48)</f>
        <v>#DIV/0!</v>
      </c>
      <c r="E27" s="343"/>
      <c r="F27" s="344"/>
      <c r="G27" s="344"/>
      <c r="H27" s="344"/>
      <c r="I27" s="345"/>
    </row>
    <row r="28" spans="1:13" s="28" customFormat="1" x14ac:dyDescent="0.2">
      <c r="B28" s="340" t="s">
        <v>47</v>
      </c>
      <c r="C28" s="390" t="e">
        <f>SUM(F39,F50)</f>
        <v>#DIV/0!</v>
      </c>
      <c r="D28" s="390" t="e">
        <f>SUM(I39,I50)</f>
        <v>#DIV/0!</v>
      </c>
      <c r="E28" s="1272" t="e">
        <f>SUM(L39,L50)</f>
        <v>#DIV/0!</v>
      </c>
      <c r="F28" s="341"/>
      <c r="G28" s="516" t="e">
        <f t="shared" ref="G28:I32" si="2">SUM(N39,N50)</f>
        <v>#DIV/0!</v>
      </c>
      <c r="H28" s="517" t="e">
        <f t="shared" si="2"/>
        <v>#DIV/0!</v>
      </c>
      <c r="I28" s="518" t="e">
        <f t="shared" si="2"/>
        <v>#DIV/0!</v>
      </c>
    </row>
    <row r="29" spans="1:13" s="28" customFormat="1" x14ac:dyDescent="0.2">
      <c r="B29" s="193" t="s">
        <v>48</v>
      </c>
      <c r="C29" s="370" t="e">
        <f>SUM(F40,F51)</f>
        <v>#DIV/0!</v>
      </c>
      <c r="D29" s="370" t="e">
        <f>SUM(I40,I51)</f>
        <v>#DIV/0!</v>
      </c>
      <c r="E29" s="912" t="e">
        <f>SUM(L40,L51)</f>
        <v>#DIV/0!</v>
      </c>
      <c r="F29" s="197"/>
      <c r="G29" s="401" t="e">
        <f t="shared" si="2"/>
        <v>#DIV/0!</v>
      </c>
      <c r="H29" s="404" t="e">
        <f t="shared" si="2"/>
        <v>#DIV/0!</v>
      </c>
      <c r="I29" s="407" t="e">
        <f t="shared" si="2"/>
        <v>#DIV/0!</v>
      </c>
    </row>
    <row r="30" spans="1:13" s="28" customFormat="1" x14ac:dyDescent="0.2">
      <c r="B30" s="193" t="s">
        <v>49</v>
      </c>
      <c r="C30" s="370" t="e">
        <f>SUM(F41,F52)</f>
        <v>#DIV/0!</v>
      </c>
      <c r="D30" s="370" t="e">
        <f>SUM(I41,I52)</f>
        <v>#DIV/0!</v>
      </c>
      <c r="E30" s="912" t="e">
        <f>SUM(L41,L52)</f>
        <v>#DIV/0!</v>
      </c>
      <c r="F30" s="197"/>
      <c r="G30" s="401" t="e">
        <f t="shared" si="2"/>
        <v>#DIV/0!</v>
      </c>
      <c r="H30" s="404" t="e">
        <f t="shared" si="2"/>
        <v>#DIV/0!</v>
      </c>
      <c r="I30" s="407" t="e">
        <f t="shared" si="2"/>
        <v>#DIV/0!</v>
      </c>
    </row>
    <row r="31" spans="1:13" s="28" customFormat="1" x14ac:dyDescent="0.2">
      <c r="B31" s="193" t="s">
        <v>67</v>
      </c>
      <c r="C31" s="370" t="e">
        <f>SUM(F42,F53)</f>
        <v>#DIV/0!</v>
      </c>
      <c r="D31" s="370" t="e">
        <f>SUM(I42,I53)</f>
        <v>#DIV/0!</v>
      </c>
      <c r="E31" s="912" t="e">
        <f>SUM(L42,L53)</f>
        <v>#DIV/0!</v>
      </c>
      <c r="F31" s="197"/>
      <c r="G31" s="401" t="e">
        <f t="shared" si="2"/>
        <v>#DIV/0!</v>
      </c>
      <c r="H31" s="404" t="e">
        <f t="shared" si="2"/>
        <v>#DIV/0!</v>
      </c>
      <c r="I31" s="407" t="e">
        <f t="shared" si="2"/>
        <v>#DIV/0!</v>
      </c>
    </row>
    <row r="32" spans="1:13" s="28" customFormat="1" ht="13.5" thickBot="1" x14ac:dyDescent="0.25">
      <c r="B32" s="194" t="s">
        <v>50</v>
      </c>
      <c r="C32" s="374" t="e">
        <f>SUM(F43,F54)</f>
        <v>#DIV/0!</v>
      </c>
      <c r="D32" s="374" t="e">
        <f>SUM(I43,I54)</f>
        <v>#DIV/0!</v>
      </c>
      <c r="E32" s="191"/>
      <c r="F32" s="377" t="e">
        <f>SUM(M43,M54)</f>
        <v>#DIV/0!</v>
      </c>
      <c r="G32" s="1066" t="e">
        <f t="shared" si="2"/>
        <v>#DIV/0!</v>
      </c>
      <c r="H32" s="1067" t="e">
        <f t="shared" si="2"/>
        <v>#DIV/0!</v>
      </c>
      <c r="I32" s="1068" t="e">
        <f t="shared" si="2"/>
        <v>#DIV/0!</v>
      </c>
    </row>
    <row r="33" spans="2:18" s="28" customFormat="1" ht="54" customHeight="1" thickBot="1" x14ac:dyDescent="0.25">
      <c r="B33" s="2359" t="s">
        <v>1396</v>
      </c>
      <c r="C33" s="2360"/>
      <c r="D33" s="2360"/>
      <c r="E33" s="2361"/>
      <c r="F33" s="6"/>
      <c r="G33" s="6"/>
      <c r="H33" s="6"/>
      <c r="I33" s="6"/>
    </row>
    <row r="34" spans="2:18" s="28" customFormat="1" ht="13.5" thickBot="1" x14ac:dyDescent="0.25">
      <c r="C34" s="13"/>
    </row>
    <row r="35" spans="2:18" s="6" customFormat="1" ht="14.25" customHeight="1" thickBot="1" x14ac:dyDescent="0.3">
      <c r="B35" s="2200" t="s">
        <v>1235</v>
      </c>
      <c r="C35" s="2201"/>
      <c r="D35" s="2201"/>
      <c r="E35" s="2201"/>
      <c r="F35" s="2201"/>
      <c r="G35" s="2201"/>
      <c r="H35" s="2201"/>
      <c r="I35" s="2201"/>
      <c r="J35" s="2201"/>
      <c r="K35" s="2201"/>
      <c r="L35" s="2201"/>
      <c r="M35" s="2201"/>
      <c r="N35" s="2201"/>
      <c r="O35" s="2201"/>
      <c r="P35" s="2201"/>
      <c r="Q35" s="2206"/>
      <c r="R35" s="28"/>
    </row>
    <row r="36" spans="2:18" s="6" customFormat="1" ht="123.75" customHeight="1" thickBot="1" x14ac:dyDescent="0.25">
      <c r="B36" s="338" t="s">
        <v>961</v>
      </c>
      <c r="C36" s="121" t="s">
        <v>1680</v>
      </c>
      <c r="D36" s="121" t="s">
        <v>1588</v>
      </c>
      <c r="E36" s="121" t="s">
        <v>1681</v>
      </c>
      <c r="F36" s="121" t="s">
        <v>1682</v>
      </c>
      <c r="G36" s="121" t="s">
        <v>1586</v>
      </c>
      <c r="H36" s="121" t="s">
        <v>1683</v>
      </c>
      <c r="I36" s="121" t="s">
        <v>1684</v>
      </c>
      <c r="J36" s="123" t="s">
        <v>1587</v>
      </c>
      <c r="K36" s="121" t="s">
        <v>84</v>
      </c>
      <c r="L36" s="121" t="s">
        <v>362</v>
      </c>
      <c r="M36" s="121" t="s">
        <v>224</v>
      </c>
      <c r="N36" s="121" t="s">
        <v>363</v>
      </c>
      <c r="O36" s="121" t="s">
        <v>364</v>
      </c>
      <c r="P36" s="123" t="s">
        <v>365</v>
      </c>
      <c r="Q36" s="1828" t="s">
        <v>1636</v>
      </c>
    </row>
    <row r="37" spans="2:18" s="6" customFormat="1" x14ac:dyDescent="0.2">
      <c r="B37" s="1186" t="s">
        <v>46</v>
      </c>
      <c r="C37" s="1187">
        <f>Inputs!C217</f>
        <v>0</v>
      </c>
      <c r="D37" s="1188"/>
      <c r="E37" s="1189"/>
      <c r="F37" s="1190" t="e">
        <f>SUM(F39:F43)</f>
        <v>#DIV/0!</v>
      </c>
      <c r="G37" s="1194"/>
      <c r="H37" s="1196"/>
      <c r="I37" s="1197" t="e">
        <f>SUM(I39:I43)</f>
        <v>#DIV/0!</v>
      </c>
      <c r="J37" s="1193"/>
      <c r="K37" s="1194"/>
      <c r="L37" s="1194"/>
      <c r="M37" s="1194"/>
      <c r="N37" s="1194"/>
      <c r="O37" s="1194"/>
      <c r="P37" s="1195"/>
      <c r="Q37" s="1195"/>
    </row>
    <row r="38" spans="2:18" s="28" customFormat="1" x14ac:dyDescent="0.2">
      <c r="B38" s="1199" t="s">
        <v>75</v>
      </c>
      <c r="C38" s="1200">
        <f>SUM(C39:C43)</f>
        <v>0</v>
      </c>
      <c r="D38" s="1201"/>
      <c r="E38" s="1202"/>
      <c r="F38" s="1203"/>
      <c r="G38" s="1204"/>
      <c r="H38" s="1198"/>
      <c r="I38" s="1198"/>
      <c r="J38" s="1198"/>
      <c r="K38" s="519"/>
      <c r="L38" s="519"/>
      <c r="M38" s="519"/>
      <c r="N38" s="519"/>
      <c r="O38" s="519"/>
      <c r="P38" s="520"/>
      <c r="Q38" s="520"/>
    </row>
    <row r="39" spans="2:18" s="6" customFormat="1" x14ac:dyDescent="0.2">
      <c r="B39" s="188" t="s">
        <v>47</v>
      </c>
      <c r="C39" s="1051">
        <f>Inputs!C218</f>
        <v>0</v>
      </c>
      <c r="D39" s="1051">
        <f>Inputs!D218</f>
        <v>0</v>
      </c>
      <c r="E39" s="378" t="e">
        <f>C39/C$38</f>
        <v>#DIV/0!</v>
      </c>
      <c r="F39" s="379" t="e">
        <f>E39*C$37</f>
        <v>#DIV/0!</v>
      </c>
      <c r="G39" s="1053">
        <f>Inputs!E218</f>
        <v>0</v>
      </c>
      <c r="H39" s="381" t="e">
        <f>F39*G39</f>
        <v>#DIV/0!</v>
      </c>
      <c r="I39" s="381" t="e">
        <f>H39*365</f>
        <v>#DIV/0!</v>
      </c>
      <c r="J39" s="1056">
        <f>Inputs!F218</f>
        <v>0</v>
      </c>
      <c r="K39" s="196"/>
      <c r="L39" s="381" t="e">
        <f>(I39/J39)+Inputs!D236</f>
        <v>#DIV/0!</v>
      </c>
      <c r="M39" s="196"/>
      <c r="N39" s="380" t="e">
        <f>L39*'Emission Factors'!$D$131</f>
        <v>#DIV/0!</v>
      </c>
      <c r="O39" s="1060" t="e">
        <f>L39*'Emission Factors'!$E$131</f>
        <v>#DIV/0!</v>
      </c>
      <c r="P39" s="1061" t="e">
        <f>L39*'Emission Factors'!$F$131</f>
        <v>#DIV/0!</v>
      </c>
      <c r="Q39" s="1061" t="e">
        <f>(N39*'Emission Factors'!$B$126)+O39+(P39*'Emission Factors'!$C$126)</f>
        <v>#DIV/0!</v>
      </c>
    </row>
    <row r="40" spans="2:18" s="6" customFormat="1" x14ac:dyDescent="0.2">
      <c r="B40" s="189" t="s">
        <v>48</v>
      </c>
      <c r="C40" s="1033">
        <f>Inputs!C219</f>
        <v>0</v>
      </c>
      <c r="D40" s="1033">
        <f>Inputs!D219</f>
        <v>0</v>
      </c>
      <c r="E40" s="382" t="e">
        <f>C40/C$38</f>
        <v>#DIV/0!</v>
      </c>
      <c r="F40" s="383" t="e">
        <f>E40*C$37</f>
        <v>#DIV/0!</v>
      </c>
      <c r="G40" s="1054">
        <f>Inputs!E219</f>
        <v>0</v>
      </c>
      <c r="H40" s="381" t="e">
        <f t="shared" ref="H40:H43" si="3">F40*G40</f>
        <v>#DIV/0!</v>
      </c>
      <c r="I40" s="381" t="e">
        <f t="shared" ref="I40:I43" si="4">H40*365</f>
        <v>#DIV/0!</v>
      </c>
      <c r="J40" s="1057">
        <f>Inputs!F219</f>
        <v>0</v>
      </c>
      <c r="K40" s="197"/>
      <c r="L40" s="384" t="e">
        <f>(I40/J40)+Inputs!D237</f>
        <v>#DIV/0!</v>
      </c>
      <c r="M40" s="197"/>
      <c r="N40" s="373" t="e">
        <f>L40*'Emission Factors'!$D$130</f>
        <v>#DIV/0!</v>
      </c>
      <c r="O40" s="370" t="e">
        <f>L40*'Emission Factors'!$E$130</f>
        <v>#DIV/0!</v>
      </c>
      <c r="P40" s="1065" t="e">
        <f>L40*'Emission Factors'!$F$130</f>
        <v>#DIV/0!</v>
      </c>
      <c r="Q40" s="1065" t="e">
        <f>(N40*'Emission Factors'!$B$126)+O40+(P40*'Emission Factors'!$C$126)</f>
        <v>#DIV/0!</v>
      </c>
    </row>
    <row r="41" spans="2:18" s="6" customFormat="1" x14ac:dyDescent="0.2">
      <c r="B41" s="189" t="s">
        <v>49</v>
      </c>
      <c r="C41" s="1033">
        <f>Inputs!C220</f>
        <v>0</v>
      </c>
      <c r="D41" s="1033">
        <f>Inputs!D220</f>
        <v>0</v>
      </c>
      <c r="E41" s="382" t="e">
        <f>C41/C$38</f>
        <v>#DIV/0!</v>
      </c>
      <c r="F41" s="383" t="e">
        <f>E41*C$37</f>
        <v>#DIV/0!</v>
      </c>
      <c r="G41" s="1054">
        <f>Inputs!E220</f>
        <v>0</v>
      </c>
      <c r="H41" s="381" t="e">
        <f>F41*G41</f>
        <v>#DIV/0!</v>
      </c>
      <c r="I41" s="381" t="e">
        <f t="shared" si="4"/>
        <v>#DIV/0!</v>
      </c>
      <c r="J41" s="1057">
        <f>Inputs!F220</f>
        <v>0</v>
      </c>
      <c r="K41" s="197"/>
      <c r="L41" s="384" t="e">
        <f>I41/J41</f>
        <v>#DIV/0!</v>
      </c>
      <c r="M41" s="197"/>
      <c r="N41" s="373" t="e">
        <f>L41*'Emission Factors'!$D$131</f>
        <v>#DIV/0!</v>
      </c>
      <c r="O41" s="370" t="e">
        <f>L41*'Emission Factors'!$E$131</f>
        <v>#DIV/0!</v>
      </c>
      <c r="P41" s="1065" t="e">
        <f>L41*'Emission Factors'!$F$131</f>
        <v>#DIV/0!</v>
      </c>
      <c r="Q41" s="1065" t="e">
        <f>(N41*'Emission Factors'!$B$126)+O41+(P41*'Emission Factors'!$C$126)</f>
        <v>#DIV/0!</v>
      </c>
    </row>
    <row r="42" spans="2:18" s="6" customFormat="1" x14ac:dyDescent="0.2">
      <c r="B42" s="189" t="s">
        <v>67</v>
      </c>
      <c r="C42" s="1033">
        <f>Inputs!C221</f>
        <v>0</v>
      </c>
      <c r="D42" s="1033">
        <f>Inputs!D221</f>
        <v>0</v>
      </c>
      <c r="E42" s="382" t="e">
        <f>C42/C$38</f>
        <v>#DIV/0!</v>
      </c>
      <c r="F42" s="383" t="e">
        <f>E42*C$37</f>
        <v>#DIV/0!</v>
      </c>
      <c r="G42" s="1054">
        <f>Inputs!E221</f>
        <v>0</v>
      </c>
      <c r="H42" s="381" t="e">
        <f t="shared" si="3"/>
        <v>#DIV/0!</v>
      </c>
      <c r="I42" s="381" t="e">
        <f t="shared" si="4"/>
        <v>#DIV/0!</v>
      </c>
      <c r="J42" s="1057">
        <f>Inputs!F221</f>
        <v>0</v>
      </c>
      <c r="K42" s="197"/>
      <c r="L42" s="384" t="e">
        <f>I42/J42</f>
        <v>#DIV/0!</v>
      </c>
      <c r="M42" s="197"/>
      <c r="N42" s="373" t="e">
        <f>L42*'Emission Factors'!$D$131</f>
        <v>#DIV/0!</v>
      </c>
      <c r="O42" s="370" t="e">
        <f>L42*'Emission Factors'!$E$131</f>
        <v>#DIV/0!</v>
      </c>
      <c r="P42" s="1065" t="e">
        <f>L42*'Emission Factors'!$F$131</f>
        <v>#DIV/0!</v>
      </c>
      <c r="Q42" s="1065" t="e">
        <f>(N42*'Emission Factors'!$B$126)+O42+(P42*'Emission Factors'!$C$126)</f>
        <v>#DIV/0!</v>
      </c>
    </row>
    <row r="43" spans="2:18" s="6" customFormat="1" ht="13.5" thickBot="1" x14ac:dyDescent="0.25">
      <c r="B43" s="190" t="s">
        <v>50</v>
      </c>
      <c r="C43" s="1052">
        <f>Inputs!C222</f>
        <v>0</v>
      </c>
      <c r="D43" s="1052">
        <f>Inputs!D222</f>
        <v>0</v>
      </c>
      <c r="E43" s="385" t="e">
        <f>C43/C$38</f>
        <v>#DIV/0!</v>
      </c>
      <c r="F43" s="386" t="e">
        <f>E43*C$37</f>
        <v>#DIV/0!</v>
      </c>
      <c r="G43" s="1055">
        <f>Inputs!E222</f>
        <v>0</v>
      </c>
      <c r="H43" s="1185" t="e">
        <f t="shared" si="3"/>
        <v>#DIV/0!</v>
      </c>
      <c r="I43" s="1185" t="e">
        <f t="shared" si="4"/>
        <v>#DIV/0!</v>
      </c>
      <c r="J43" s="1058">
        <f>Inputs!F222</f>
        <v>0</v>
      </c>
      <c r="K43" s="192">
        <f>D71</f>
        <v>0.31000000000000005</v>
      </c>
      <c r="L43" s="387" t="s">
        <v>284</v>
      </c>
      <c r="M43" s="388" t="e">
        <f>I43*K43</f>
        <v>#DIV/0!</v>
      </c>
      <c r="N43" s="1069" t="e">
        <f>M43*'Emission Factors'!$G$120</f>
        <v>#DIV/0!</v>
      </c>
      <c r="O43" s="1067" t="e">
        <f>M43*'Emission Factors'!$H$120</f>
        <v>#DIV/0!</v>
      </c>
      <c r="P43" s="1068" t="e">
        <f>M43*'Emission Factors'!$I$120</f>
        <v>#DIV/0!</v>
      </c>
      <c r="Q43" s="1281" t="e">
        <f>(N43*'Emission Factors'!$B$126)+O43+(P43*'Emission Factors'!$C$126)</f>
        <v>#DIV/0!</v>
      </c>
    </row>
    <row r="44" spans="2:18" s="28" customFormat="1" ht="51.75" customHeight="1" thickBot="1" x14ac:dyDescent="0.25">
      <c r="B44" s="2356" t="s">
        <v>1396</v>
      </c>
      <c r="C44" s="2357"/>
      <c r="D44" s="2357"/>
      <c r="E44" s="2358"/>
      <c r="G44" s="1181"/>
      <c r="I44" s="8"/>
      <c r="P44" s="8"/>
    </row>
    <row r="45" spans="2:18" s="28" customFormat="1" ht="13.5" thickBot="1" x14ac:dyDescent="0.25"/>
    <row r="46" spans="2:18" s="28" customFormat="1" ht="14.25" customHeight="1" thickBot="1" x14ac:dyDescent="0.3">
      <c r="B46" s="2200" t="s">
        <v>1236</v>
      </c>
      <c r="C46" s="2201"/>
      <c r="D46" s="2201"/>
      <c r="E46" s="2201"/>
      <c r="F46" s="2201"/>
      <c r="G46" s="2201"/>
      <c r="H46" s="2201"/>
      <c r="I46" s="2201"/>
      <c r="J46" s="2201"/>
      <c r="K46" s="2201"/>
      <c r="L46" s="2201"/>
      <c r="M46" s="2201"/>
      <c r="N46" s="2201"/>
      <c r="O46" s="2201"/>
      <c r="P46" s="2201"/>
      <c r="Q46" s="2206"/>
    </row>
    <row r="47" spans="2:18" s="28" customFormat="1" ht="102.75" thickBot="1" x14ac:dyDescent="0.25">
      <c r="B47" s="338" t="s">
        <v>972</v>
      </c>
      <c r="C47" s="121" t="s">
        <v>962</v>
      </c>
      <c r="D47" s="121" t="s">
        <v>1588</v>
      </c>
      <c r="E47" s="121" t="s">
        <v>1681</v>
      </c>
      <c r="F47" s="121" t="s">
        <v>1682</v>
      </c>
      <c r="G47" s="121" t="s">
        <v>1586</v>
      </c>
      <c r="H47" s="121" t="s">
        <v>1683</v>
      </c>
      <c r="I47" s="121" t="s">
        <v>1684</v>
      </c>
      <c r="J47" s="123" t="s">
        <v>1587</v>
      </c>
      <c r="K47" s="121" t="s">
        <v>84</v>
      </c>
      <c r="L47" s="121" t="s">
        <v>362</v>
      </c>
      <c r="M47" s="121" t="s">
        <v>224</v>
      </c>
      <c r="N47" s="121" t="s">
        <v>363</v>
      </c>
      <c r="O47" s="121" t="s">
        <v>364</v>
      </c>
      <c r="P47" s="123" t="s">
        <v>365</v>
      </c>
      <c r="Q47" s="1828" t="s">
        <v>1636</v>
      </c>
    </row>
    <row r="48" spans="2:18" s="28" customFormat="1" x14ac:dyDescent="0.2">
      <c r="B48" s="1186" t="s">
        <v>51</v>
      </c>
      <c r="C48" s="1187">
        <f>Inputs!C226</f>
        <v>0</v>
      </c>
      <c r="D48" s="1188"/>
      <c r="E48" s="1189"/>
      <c r="F48" s="1190" t="e">
        <f>SUM(F50:F54)</f>
        <v>#DIV/0!</v>
      </c>
      <c r="G48" s="1191"/>
      <c r="H48" s="1188"/>
      <c r="I48" s="1192" t="e">
        <f>SUM(I50:I54)</f>
        <v>#DIV/0!</v>
      </c>
      <c r="J48" s="1193"/>
      <c r="K48" s="1194"/>
      <c r="L48" s="1194"/>
      <c r="M48" s="1194"/>
      <c r="N48" s="1194"/>
      <c r="O48" s="1194"/>
      <c r="P48" s="1195"/>
      <c r="Q48" s="1195"/>
    </row>
    <row r="49" spans="2:17" s="28" customFormat="1" x14ac:dyDescent="0.2">
      <c r="B49" s="335" t="s">
        <v>1104</v>
      </c>
      <c r="C49" s="369">
        <f>SUM(C50:C54)</f>
        <v>0</v>
      </c>
      <c r="D49" s="1182"/>
      <c r="E49" s="1183"/>
      <c r="F49" s="1184"/>
      <c r="G49" s="1198"/>
      <c r="H49" s="1182"/>
      <c r="I49" s="1198"/>
      <c r="J49" s="1198"/>
      <c r="K49" s="519"/>
      <c r="L49" s="519"/>
      <c r="M49" s="519"/>
      <c r="N49" s="519"/>
      <c r="O49" s="519"/>
      <c r="P49" s="520"/>
      <c r="Q49" s="520"/>
    </row>
    <row r="50" spans="2:17" s="28" customFormat="1" x14ac:dyDescent="0.2">
      <c r="B50" s="189" t="s">
        <v>47</v>
      </c>
      <c r="C50" s="1033">
        <f>Inputs!C227</f>
        <v>0</v>
      </c>
      <c r="D50" s="1033">
        <f>Inputs!D227</f>
        <v>0</v>
      </c>
      <c r="E50" s="371" t="e">
        <f>C50/C$49</f>
        <v>#DIV/0!</v>
      </c>
      <c r="F50" s="372" t="e">
        <f>E50*C$48</f>
        <v>#DIV/0!</v>
      </c>
      <c r="G50" s="1054">
        <f>Inputs!E227</f>
        <v>0</v>
      </c>
      <c r="H50" s="370" t="e">
        <f>G50*F50</f>
        <v>#DIV/0!</v>
      </c>
      <c r="I50" s="370" t="e">
        <f>H50*365</f>
        <v>#DIV/0!</v>
      </c>
      <c r="J50" s="1057">
        <f>Inputs!F227</f>
        <v>0</v>
      </c>
      <c r="K50" s="196"/>
      <c r="L50" s="370" t="e">
        <f>I50/J50</f>
        <v>#DIV/0!</v>
      </c>
      <c r="M50" s="196"/>
      <c r="N50" s="1059" t="e">
        <f>L50*'Emission Factors'!$D$131</f>
        <v>#DIV/0!</v>
      </c>
      <c r="O50" s="1060" t="e">
        <f>L50*'Emission Factors'!$E$131</f>
        <v>#DIV/0!</v>
      </c>
      <c r="P50" s="1061" t="e">
        <f>L50*'Emission Factors'!$F$131</f>
        <v>#DIV/0!</v>
      </c>
      <c r="Q50" s="1061" t="e">
        <f>(N50*'Emission Factors'!$B$126)+O50+(P50*'Emission Factors'!$C$126)</f>
        <v>#DIV/0!</v>
      </c>
    </row>
    <row r="51" spans="2:17" s="28" customFormat="1" x14ac:dyDescent="0.2">
      <c r="B51" s="189" t="s">
        <v>48</v>
      </c>
      <c r="C51" s="1033">
        <f>Inputs!C228</f>
        <v>0</v>
      </c>
      <c r="D51" s="1033">
        <f>Inputs!D228</f>
        <v>0</v>
      </c>
      <c r="E51" s="371" t="e">
        <f>C51/C$49</f>
        <v>#DIV/0!</v>
      </c>
      <c r="F51" s="372" t="e">
        <f t="shared" ref="F51:F54" si="5">E51*C$48</f>
        <v>#DIV/0!</v>
      </c>
      <c r="G51" s="1054">
        <f>Inputs!E228</f>
        <v>0</v>
      </c>
      <c r="H51" s="370" t="e">
        <f>G51*F51</f>
        <v>#DIV/0!</v>
      </c>
      <c r="I51" s="370" t="e">
        <f t="shared" ref="I51:I54" si="6">H51*365</f>
        <v>#DIV/0!</v>
      </c>
      <c r="J51" s="1057">
        <f>Inputs!F228</f>
        <v>0</v>
      </c>
      <c r="K51" s="197"/>
      <c r="L51" s="370" t="e">
        <f>I51/J51</f>
        <v>#DIV/0!</v>
      </c>
      <c r="M51" s="197"/>
      <c r="N51" s="1062" t="e">
        <f>L51*'Emission Factors'!$D$130</f>
        <v>#DIV/0!</v>
      </c>
      <c r="O51" s="1063" t="e">
        <f>L51*'Emission Factors'!$E$130</f>
        <v>#DIV/0!</v>
      </c>
      <c r="P51" s="1064" t="e">
        <f>L51*'Emission Factors'!$F$130</f>
        <v>#DIV/0!</v>
      </c>
      <c r="Q51" s="1065" t="e">
        <f>(N51*'Emission Factors'!$B$126)+O51+(P51*'Emission Factors'!$C$126)</f>
        <v>#DIV/0!</v>
      </c>
    </row>
    <row r="52" spans="2:17" s="28" customFormat="1" x14ac:dyDescent="0.2">
      <c r="B52" s="189" t="s">
        <v>49</v>
      </c>
      <c r="C52" s="1033">
        <f>Inputs!C229</f>
        <v>0</v>
      </c>
      <c r="D52" s="1033">
        <f>Inputs!D229</f>
        <v>0</v>
      </c>
      <c r="E52" s="371" t="e">
        <f>C52/C$49</f>
        <v>#DIV/0!</v>
      </c>
      <c r="F52" s="372" t="e">
        <f t="shared" si="5"/>
        <v>#DIV/0!</v>
      </c>
      <c r="G52" s="1054">
        <f>Inputs!E229</f>
        <v>0</v>
      </c>
      <c r="H52" s="370" t="e">
        <f>G52*F52</f>
        <v>#DIV/0!</v>
      </c>
      <c r="I52" s="370" t="e">
        <f t="shared" si="6"/>
        <v>#DIV/0!</v>
      </c>
      <c r="J52" s="1057">
        <f>Inputs!F229</f>
        <v>0</v>
      </c>
      <c r="K52" s="197"/>
      <c r="L52" s="370" t="e">
        <f>I52/J52</f>
        <v>#DIV/0!</v>
      </c>
      <c r="M52" s="197"/>
      <c r="N52" s="339" t="e">
        <f>L52*'Emission Factors'!$D$131</f>
        <v>#DIV/0!</v>
      </c>
      <c r="O52" s="370" t="e">
        <f>L52*'Emission Factors'!$E$131</f>
        <v>#DIV/0!</v>
      </c>
      <c r="P52" s="1065" t="e">
        <f>L52*'Emission Factors'!$F$131</f>
        <v>#DIV/0!</v>
      </c>
      <c r="Q52" s="1065" t="e">
        <f>(N52*'Emission Factors'!$B$126)+O52+(P52*'Emission Factors'!$C$126)</f>
        <v>#DIV/0!</v>
      </c>
    </row>
    <row r="53" spans="2:17" s="28" customFormat="1" x14ac:dyDescent="0.2">
      <c r="B53" s="189" t="s">
        <v>67</v>
      </c>
      <c r="C53" s="1033">
        <f>Inputs!C230</f>
        <v>0</v>
      </c>
      <c r="D53" s="1033">
        <f>Inputs!D230</f>
        <v>0</v>
      </c>
      <c r="E53" s="371" t="e">
        <f t="shared" ref="E53:E54" si="7">C53/C$49</f>
        <v>#DIV/0!</v>
      </c>
      <c r="F53" s="372" t="e">
        <f t="shared" si="5"/>
        <v>#DIV/0!</v>
      </c>
      <c r="G53" s="1054">
        <f>Inputs!E230</f>
        <v>0</v>
      </c>
      <c r="H53" s="370" t="e">
        <f>G53*F53</f>
        <v>#DIV/0!</v>
      </c>
      <c r="I53" s="370" t="e">
        <f t="shared" si="6"/>
        <v>#DIV/0!</v>
      </c>
      <c r="J53" s="1057">
        <f>Inputs!F230</f>
        <v>0</v>
      </c>
      <c r="K53" s="197"/>
      <c r="L53" s="370" t="e">
        <f>I53/J53</f>
        <v>#DIV/0!</v>
      </c>
      <c r="M53" s="197"/>
      <c r="N53" s="339" t="e">
        <f>L53*'Emission Factors'!$D$130</f>
        <v>#DIV/0!</v>
      </c>
      <c r="O53" s="370" t="e">
        <f>L53*'Emission Factors'!$E$130</f>
        <v>#DIV/0!</v>
      </c>
      <c r="P53" s="1065" t="e">
        <f>L53*'Emission Factors'!$F$130</f>
        <v>#DIV/0!</v>
      </c>
      <c r="Q53" s="1065" t="e">
        <f>(N53*'Emission Factors'!$B$126)+O53+(P53*'Emission Factors'!$C$126)</f>
        <v>#DIV/0!</v>
      </c>
    </row>
    <row r="54" spans="2:17" s="28" customFormat="1" ht="13.5" thickBot="1" x14ac:dyDescent="0.25">
      <c r="B54" s="190" t="s">
        <v>50</v>
      </c>
      <c r="C54" s="1052">
        <f>Inputs!C231</f>
        <v>0</v>
      </c>
      <c r="D54" s="1052">
        <f>Inputs!D231</f>
        <v>0</v>
      </c>
      <c r="E54" s="375" t="e">
        <f t="shared" si="7"/>
        <v>#DIV/0!</v>
      </c>
      <c r="F54" s="376" t="e">
        <f t="shared" si="5"/>
        <v>#DIV/0!</v>
      </c>
      <c r="G54" s="1055">
        <f>Inputs!E231</f>
        <v>0</v>
      </c>
      <c r="H54" s="374" t="e">
        <f>G54*F54</f>
        <v>#DIV/0!</v>
      </c>
      <c r="I54" s="374" t="e">
        <f t="shared" si="6"/>
        <v>#DIV/0!</v>
      </c>
      <c r="J54" s="1058">
        <f>Inputs!F231</f>
        <v>0</v>
      </c>
      <c r="K54" s="336">
        <f>D71</f>
        <v>0.31000000000000005</v>
      </c>
      <c r="L54" s="336" t="s">
        <v>284</v>
      </c>
      <c r="M54" s="377" t="e">
        <f>I54*K54</f>
        <v>#DIV/0!</v>
      </c>
      <c r="N54" s="1066" t="e">
        <f>M54*'Emission Factors'!$G$121</f>
        <v>#DIV/0!</v>
      </c>
      <c r="O54" s="1067" t="e">
        <f>M54*'Emission Factors'!$H$121</f>
        <v>#DIV/0!</v>
      </c>
      <c r="P54" s="1068" t="e">
        <f>M54*'Emission Factors'!$I$121</f>
        <v>#DIV/0!</v>
      </c>
      <c r="Q54" s="1281" t="e">
        <f>(N54*'Emission Factors'!$B$126)+O54+(P54*'Emission Factors'!$C$126)</f>
        <v>#DIV/0!</v>
      </c>
    </row>
    <row r="55" spans="2:17" s="28" customFormat="1" ht="54.75" customHeight="1" thickBot="1" x14ac:dyDescent="0.25">
      <c r="B55" s="2334" t="s">
        <v>1396</v>
      </c>
      <c r="C55" s="1953"/>
      <c r="D55" s="1953"/>
      <c r="E55" s="1954"/>
    </row>
    <row r="56" spans="2:17" s="28" customFormat="1" ht="18.75" customHeight="1" thickBot="1" x14ac:dyDescent="0.25">
      <c r="B56" s="1842"/>
      <c r="C56" s="1843"/>
      <c r="D56" s="1843"/>
      <c r="E56" s="1843"/>
    </row>
    <row r="57" spans="2:17" s="28" customFormat="1" ht="18.75" customHeight="1" thickBot="1" x14ac:dyDescent="0.3">
      <c r="B57" s="2274" t="s">
        <v>1641</v>
      </c>
      <c r="C57" s="2275"/>
      <c r="D57" s="2275"/>
      <c r="E57" s="2275"/>
      <c r="F57" s="2275"/>
      <c r="G57" s="2276"/>
    </row>
    <row r="58" spans="2:17" s="28" customFormat="1" ht="48" customHeight="1" x14ac:dyDescent="0.2">
      <c r="B58" s="1853" t="s">
        <v>972</v>
      </c>
      <c r="C58" s="1854" t="s">
        <v>362</v>
      </c>
      <c r="D58" s="1854" t="s">
        <v>363</v>
      </c>
      <c r="E58" s="1854" t="s">
        <v>364</v>
      </c>
      <c r="F58" s="1855" t="s">
        <v>365</v>
      </c>
      <c r="G58" s="1578" t="s">
        <v>1636</v>
      </c>
    </row>
    <row r="59" spans="2:17" s="28" customFormat="1" ht="15" customHeight="1" x14ac:dyDescent="0.2">
      <c r="B59" s="1844" t="s">
        <v>9</v>
      </c>
      <c r="C59" s="1846">
        <f>Inputs!D236</f>
        <v>0</v>
      </c>
      <c r="D59" s="1059">
        <f>C59*'Emission Factors'!$D$131</f>
        <v>0</v>
      </c>
      <c r="E59" s="1060">
        <f>C59*'Emission Factors'!$E$131</f>
        <v>0</v>
      </c>
      <c r="F59" s="1852">
        <f>C59*'Emission Factors'!$F$131</f>
        <v>0</v>
      </c>
      <c r="G59" s="1061">
        <f>(D59*'Emission Factors'!$B$126)+E59+(F59*'Emission Factors'!$C$126)</f>
        <v>0</v>
      </c>
    </row>
    <row r="60" spans="2:17" s="28" customFormat="1" ht="15" customHeight="1" thickBot="1" x14ac:dyDescent="0.25">
      <c r="B60" s="1845" t="s">
        <v>8</v>
      </c>
      <c r="C60" s="1847">
        <f>Inputs!D237</f>
        <v>0</v>
      </c>
      <c r="D60" s="1848">
        <f>C60*'Emission Factors'!$D$130</f>
        <v>0</v>
      </c>
      <c r="E60" s="1849">
        <f>C60*'Emission Factors'!$E$130</f>
        <v>0</v>
      </c>
      <c r="F60" s="1850">
        <f>C60*'Emission Factors'!$F$130</f>
        <v>0</v>
      </c>
      <c r="G60" s="1851">
        <f>(D60*'Emission Factors'!$B$126)+E60+(F60*'Emission Factors'!$C$126)</f>
        <v>0</v>
      </c>
    </row>
    <row r="61" spans="2:17" s="28" customFormat="1" ht="13.5" thickBot="1" x14ac:dyDescent="0.25">
      <c r="J61" s="8"/>
    </row>
    <row r="62" spans="2:17" s="6" customFormat="1" ht="16.5" customHeight="1" thickBot="1" x14ac:dyDescent="0.3">
      <c r="B62" s="1964" t="s">
        <v>1237</v>
      </c>
      <c r="C62" s="2158"/>
      <c r="D62" s="2158"/>
      <c r="E62" s="2159"/>
    </row>
    <row r="63" spans="2:17" s="6" customFormat="1" ht="30.75" customHeight="1" x14ac:dyDescent="0.2">
      <c r="B63" s="489" t="s">
        <v>76</v>
      </c>
      <c r="C63" s="490" t="s">
        <v>77</v>
      </c>
      <c r="D63" s="490" t="s">
        <v>366</v>
      </c>
      <c r="E63" s="491" t="s">
        <v>367</v>
      </c>
    </row>
    <row r="64" spans="2:17" s="6" customFormat="1" x14ac:dyDescent="0.2">
      <c r="B64" s="71" t="str">
        <f>'Adjust Inventory Year'!B100</f>
        <v>Nisan</v>
      </c>
      <c r="C64" s="72" t="str">
        <f>'Adjust Inventory Year'!C100</f>
        <v>Leaf</v>
      </c>
      <c r="D64" s="1180">
        <f>'Adjust Inventory Year'!D100</f>
        <v>0.3</v>
      </c>
      <c r="E64" s="703" t="s">
        <v>82</v>
      </c>
      <c r="F64" s="28"/>
    </row>
    <row r="65" spans="2:19" s="28" customFormat="1" x14ac:dyDescent="0.2">
      <c r="B65" s="71" t="str">
        <f>'Adjust Inventory Year'!B101</f>
        <v xml:space="preserve">Chevrolet </v>
      </c>
      <c r="C65" s="72" t="str">
        <f>'Adjust Inventory Year'!C101</f>
        <v>Bolt</v>
      </c>
      <c r="D65" s="1180">
        <f>'Adjust Inventory Year'!D101</f>
        <v>0.28000000000000003</v>
      </c>
      <c r="E65" s="704" t="s">
        <v>82</v>
      </c>
    </row>
    <row r="66" spans="2:19" s="28" customFormat="1" x14ac:dyDescent="0.2">
      <c r="B66" s="71" t="str">
        <f>'Adjust Inventory Year'!B102</f>
        <v>Chevrolet</v>
      </c>
      <c r="C66" s="72" t="str">
        <f>'Adjust Inventory Year'!C102</f>
        <v>Volt</v>
      </c>
      <c r="D66" s="1180">
        <f>'Adjust Inventory Year'!D102</f>
        <v>0.31</v>
      </c>
      <c r="E66" s="703" t="s">
        <v>82</v>
      </c>
    </row>
    <row r="67" spans="2:19" s="28" customFormat="1" x14ac:dyDescent="0.2">
      <c r="B67" s="71" t="str">
        <f>'Adjust Inventory Year'!B103</f>
        <v>Toyota</v>
      </c>
      <c r="C67" s="72" t="str">
        <f>'Adjust Inventory Year'!C103</f>
        <v>Prius Prime</v>
      </c>
      <c r="D67" s="1180">
        <f>'Adjust Inventory Year'!D103</f>
        <v>0.25</v>
      </c>
      <c r="E67" s="704" t="s">
        <v>82</v>
      </c>
    </row>
    <row r="68" spans="2:19" s="28" customFormat="1" x14ac:dyDescent="0.2">
      <c r="B68" s="71" t="str">
        <f>'Adjust Inventory Year'!B104</f>
        <v>Tesla</v>
      </c>
      <c r="C68" s="72" t="str">
        <f>'Adjust Inventory Year'!C104</f>
        <v>Model X</v>
      </c>
      <c r="D68" s="1180">
        <f>'Adjust Inventory Year'!D104</f>
        <v>0.39</v>
      </c>
      <c r="E68" s="704" t="s">
        <v>82</v>
      </c>
    </row>
    <row r="69" spans="2:19" s="6" customFormat="1" x14ac:dyDescent="0.2">
      <c r="B69" s="71" t="str">
        <f>'Adjust Inventory Year'!B105</f>
        <v>Tesla</v>
      </c>
      <c r="C69" s="72" t="str">
        <f>'Adjust Inventory Year'!C105</f>
        <v>Model 3</v>
      </c>
      <c r="D69" s="1180">
        <f>'Adjust Inventory Year'!D105</f>
        <v>0.28999999999999998</v>
      </c>
      <c r="E69" s="704" t="s">
        <v>82</v>
      </c>
      <c r="F69" s="28"/>
    </row>
    <row r="70" spans="2:19" s="6" customFormat="1" ht="13.5" thickBot="1" x14ac:dyDescent="0.25">
      <c r="B70" s="71" t="str">
        <f>'Adjust Inventory Year'!B106</f>
        <v>Tesla</v>
      </c>
      <c r="C70" s="72" t="str">
        <f>'Adjust Inventory Year'!C106</f>
        <v>Model S</v>
      </c>
      <c r="D70" s="1180">
        <f>'Adjust Inventory Year'!D106</f>
        <v>0.35</v>
      </c>
      <c r="E70" s="704" t="s">
        <v>82</v>
      </c>
      <c r="F70" s="28"/>
    </row>
    <row r="71" spans="2:19" s="6" customFormat="1" ht="13.5" thickBot="1" x14ac:dyDescent="0.25">
      <c r="B71" s="2335" t="s">
        <v>371</v>
      </c>
      <c r="C71" s="2336"/>
      <c r="D71" s="221">
        <f>AVERAGE(D64:D70)</f>
        <v>0.31000000000000005</v>
      </c>
      <c r="E71" s="222"/>
    </row>
    <row r="72" spans="2:19" s="6" customFormat="1" ht="41.25" customHeight="1" thickBot="1" x14ac:dyDescent="0.25">
      <c r="B72" s="2216" t="s">
        <v>1148</v>
      </c>
      <c r="C72" s="2217"/>
      <c r="D72" s="2217"/>
      <c r="E72" s="1959"/>
    </row>
    <row r="73" spans="2:19" s="28" customFormat="1" ht="13.5" thickBot="1" x14ac:dyDescent="0.25"/>
    <row r="74" spans="2:19" s="6" customFormat="1" ht="14.25" customHeight="1" thickBot="1" x14ac:dyDescent="0.3">
      <c r="B74" s="2200" t="s">
        <v>1238</v>
      </c>
      <c r="C74" s="2201"/>
      <c r="D74" s="2201"/>
      <c r="E74" s="2201"/>
      <c r="F74" s="2201"/>
      <c r="G74" s="2201"/>
      <c r="H74" s="2201"/>
      <c r="I74" s="2201"/>
      <c r="J74" s="2201"/>
      <c r="K74" s="2201"/>
      <c r="L74" s="2201"/>
      <c r="M74" s="2201"/>
      <c r="N74" s="2201"/>
      <c r="O74" s="2201"/>
      <c r="P74" s="2201"/>
      <c r="Q74" s="2201"/>
      <c r="R74" s="2201"/>
      <c r="S74" s="2206"/>
    </row>
    <row r="75" spans="2:19" s="6" customFormat="1" ht="15.75" customHeight="1" thickBot="1" x14ac:dyDescent="0.25">
      <c r="B75" s="2293" t="s">
        <v>973</v>
      </c>
      <c r="C75" s="2332"/>
      <c r="D75" s="2332"/>
      <c r="E75" s="2333"/>
      <c r="F75" s="2293" t="s">
        <v>100</v>
      </c>
      <c r="G75" s="2332"/>
      <c r="H75" s="2332"/>
      <c r="I75" s="2332"/>
      <c r="J75" s="2333"/>
      <c r="K75" s="2293" t="s">
        <v>101</v>
      </c>
      <c r="L75" s="2332"/>
      <c r="M75" s="2333"/>
      <c r="N75" s="2293" t="s">
        <v>102</v>
      </c>
      <c r="O75" s="2294"/>
      <c r="P75" s="2294"/>
      <c r="Q75" s="2294"/>
      <c r="R75" s="2294"/>
      <c r="S75" s="2295"/>
    </row>
    <row r="76" spans="2:19" s="6" customFormat="1" ht="73.5" customHeight="1" thickBot="1" x14ac:dyDescent="0.25">
      <c r="B76" s="132" t="s">
        <v>52</v>
      </c>
      <c r="C76" s="133" t="s">
        <v>194</v>
      </c>
      <c r="D76" s="133" t="s">
        <v>971</v>
      </c>
      <c r="E76" s="135" t="s">
        <v>970</v>
      </c>
      <c r="F76" s="132" t="s">
        <v>1685</v>
      </c>
      <c r="G76" s="134" t="s">
        <v>974</v>
      </c>
      <c r="H76" s="331" t="s">
        <v>332</v>
      </c>
      <c r="I76" s="331" t="s">
        <v>333</v>
      </c>
      <c r="J76" s="135" t="s">
        <v>368</v>
      </c>
      <c r="K76" s="133" t="s">
        <v>1583</v>
      </c>
      <c r="L76" s="331" t="s">
        <v>975</v>
      </c>
      <c r="M76" s="135" t="s">
        <v>369</v>
      </c>
      <c r="N76" s="132" t="s">
        <v>1686</v>
      </c>
      <c r="O76" s="133" t="s">
        <v>977</v>
      </c>
      <c r="P76" s="134" t="s">
        <v>976</v>
      </c>
      <c r="Q76" s="331" t="s">
        <v>341</v>
      </c>
      <c r="R76" s="331" t="s">
        <v>370</v>
      </c>
      <c r="S76" s="135" t="s">
        <v>343</v>
      </c>
    </row>
    <row r="77" spans="2:19" s="28" customFormat="1" x14ac:dyDescent="0.2">
      <c r="B77" s="1205" t="s">
        <v>1229</v>
      </c>
      <c r="C77" s="1343">
        <f>Inputs!G242</f>
        <v>1019693.24894229</v>
      </c>
      <c r="D77" s="1206">
        <f>Inputs!C242</f>
        <v>0</v>
      </c>
      <c r="E77" s="1207">
        <f>(D77/C77)</f>
        <v>0</v>
      </c>
      <c r="F77" s="1347">
        <f>Inputs!D242</f>
        <v>176435.485681791</v>
      </c>
      <c r="G77" s="370">
        <f>F77*E77</f>
        <v>0</v>
      </c>
      <c r="H77" s="1237">
        <f>G77*'Emission Factors'!$D$130</f>
        <v>0</v>
      </c>
      <c r="I77" s="1235">
        <f>G77*'Emission Factors'!$E$130</f>
        <v>0</v>
      </c>
      <c r="J77" s="1065">
        <f>G77*'Emission Factors'!$F$130</f>
        <v>0</v>
      </c>
      <c r="K77" s="1208"/>
      <c r="L77" s="1209"/>
      <c r="M77" s="1210"/>
      <c r="N77" s="1348">
        <f>Inputs!F242</f>
        <v>4828.9972650347199</v>
      </c>
      <c r="O77" s="1712">
        <f>N77*1000</f>
        <v>4828997.2650347203</v>
      </c>
      <c r="P77" s="1211">
        <f>O77*E77</f>
        <v>0</v>
      </c>
      <c r="Q77" s="1212">
        <f>P77*'Emission Factors'!$G$43</f>
        <v>0</v>
      </c>
      <c r="R77" s="1213">
        <f>P77*'Emission Factors'!$H$43</f>
        <v>0</v>
      </c>
      <c r="S77" s="1214">
        <f>P77*'Emission Factors'!$I$43</f>
        <v>0</v>
      </c>
    </row>
    <row r="78" spans="2:19" s="6" customFormat="1" x14ac:dyDescent="0.2">
      <c r="B78" s="619" t="s">
        <v>53</v>
      </c>
      <c r="C78" s="1344">
        <f>Inputs!G243</f>
        <v>592315</v>
      </c>
      <c r="D78" s="1215">
        <f>Inputs!C243</f>
        <v>0</v>
      </c>
      <c r="E78" s="1216">
        <f>D78/C78</f>
        <v>0</v>
      </c>
      <c r="F78" s="1217"/>
      <c r="G78" s="1218"/>
      <c r="H78" s="1219"/>
      <c r="I78" s="1219"/>
      <c r="J78" s="1220"/>
      <c r="K78" s="1221"/>
      <c r="L78" s="1222"/>
      <c r="M78" s="1223"/>
      <c r="N78" s="1347">
        <f>Inputs!F243</f>
        <v>8050.7800929865898</v>
      </c>
      <c r="O78" s="1713">
        <f>N78*1000</f>
        <v>8050780.0929865902</v>
      </c>
      <c r="P78" s="370">
        <f>O78*E78</f>
        <v>0</v>
      </c>
      <c r="Q78" s="1224">
        <f>P78*'Emission Factors'!$G$43</f>
        <v>0</v>
      </c>
      <c r="R78" s="401">
        <f>P78*'Emission Factors'!$H$43</f>
        <v>0</v>
      </c>
      <c r="S78" s="1225">
        <f>P78*'Emission Factors'!$I$43</f>
        <v>0</v>
      </c>
    </row>
    <row r="79" spans="2:19" s="6" customFormat="1" ht="13.5" thickBot="1" x14ac:dyDescent="0.25">
      <c r="B79" s="1226" t="s">
        <v>1242</v>
      </c>
      <c r="C79" s="1345">
        <f>Inputs!G244</f>
        <v>21427919.751057699</v>
      </c>
      <c r="D79" s="1227">
        <f>Inputs!C244</f>
        <v>0</v>
      </c>
      <c r="E79" s="1228">
        <f>D79/C79</f>
        <v>0</v>
      </c>
      <c r="F79" s="1346">
        <f>Inputs!D244</f>
        <v>5690208.5143182101</v>
      </c>
      <c r="G79" s="374">
        <f>F79*E79</f>
        <v>0</v>
      </c>
      <c r="H79" s="1236">
        <f>G79*'Emission Factors'!$D$130</f>
        <v>0</v>
      </c>
      <c r="I79" s="1229">
        <f>G79*'Emission Factors'!$E$130</f>
        <v>0</v>
      </c>
      <c r="J79" s="1238">
        <f>G79*'Emission Factors'!$F$130</f>
        <v>0</v>
      </c>
      <c r="K79" s="1346">
        <f>Inputs!E244</f>
        <v>290151</v>
      </c>
      <c r="L79" s="374">
        <f>K79*E79</f>
        <v>0</v>
      </c>
      <c r="M79" s="1230">
        <f>L79*'Emission Factors'!$E$132</f>
        <v>0</v>
      </c>
      <c r="N79" s="1231"/>
      <c r="O79" s="1711"/>
      <c r="P79" s="1232"/>
      <c r="Q79" s="1232"/>
      <c r="R79" s="1232"/>
      <c r="S79" s="1233"/>
    </row>
    <row r="80" spans="2:19" s="6" customFormat="1" ht="33" customHeight="1" thickBot="1" x14ac:dyDescent="0.25">
      <c r="B80" s="2346" t="s">
        <v>1397</v>
      </c>
      <c r="C80" s="2347"/>
      <c r="D80" s="2347"/>
      <c r="E80" s="2348"/>
      <c r="F80" s="201"/>
      <c r="G80" s="28"/>
      <c r="H80" s="54"/>
      <c r="I80" s="54"/>
      <c r="J80" s="54"/>
      <c r="K80" s="54"/>
      <c r="L80" s="54"/>
      <c r="M80" s="54"/>
      <c r="N80" s="54"/>
      <c r="O80" s="28"/>
      <c r="P80" s="28"/>
    </row>
    <row r="81" spans="2:16" s="6" customFormat="1" ht="13.5" thickBot="1" x14ac:dyDescent="0.25">
      <c r="B81" s="202"/>
      <c r="C81" s="202"/>
      <c r="D81" s="202"/>
      <c r="E81" s="202"/>
      <c r="F81" s="29"/>
      <c r="G81" s="28"/>
      <c r="H81" s="28"/>
      <c r="I81" s="54"/>
      <c r="J81" s="54"/>
      <c r="K81" s="54"/>
      <c r="L81" s="54"/>
      <c r="M81" s="54"/>
      <c r="N81" s="28"/>
      <c r="O81" s="28"/>
    </row>
    <row r="82" spans="2:16" s="28" customFormat="1" ht="24" customHeight="1" thickBot="1" x14ac:dyDescent="0.25">
      <c r="B82" s="2337" t="s">
        <v>1639</v>
      </c>
      <c r="C82" s="2338"/>
      <c r="D82" s="2338"/>
      <c r="E82" s="2338"/>
      <c r="F82" s="2338"/>
      <c r="G82" s="2338"/>
      <c r="H82" s="2338"/>
      <c r="I82" s="2338"/>
      <c r="J82" s="2338"/>
      <c r="K82" s="2338"/>
      <c r="L82" s="2338"/>
      <c r="M82" s="2338"/>
      <c r="N82" s="2338"/>
      <c r="O82" s="2338"/>
      <c r="P82" s="2339"/>
    </row>
    <row r="83" spans="2:16" s="28" customFormat="1" ht="14.25" x14ac:dyDescent="0.2">
      <c r="B83" s="1248" t="s">
        <v>973</v>
      </c>
      <c r="C83" s="2340" t="s">
        <v>1539</v>
      </c>
      <c r="D83" s="2341"/>
      <c r="E83" s="2341"/>
      <c r="F83" s="2342"/>
      <c r="G83" s="2343" t="s">
        <v>100</v>
      </c>
      <c r="H83" s="2344"/>
      <c r="I83" s="2344"/>
      <c r="J83" s="2345"/>
      <c r="K83" s="2350" t="s">
        <v>101</v>
      </c>
      <c r="L83" s="2351"/>
      <c r="M83" s="2343" t="s">
        <v>102</v>
      </c>
      <c r="N83" s="2349"/>
      <c r="O83" s="2349"/>
      <c r="P83" s="2005"/>
    </row>
    <row r="84" spans="2:16" s="28" customFormat="1" ht="51" x14ac:dyDescent="0.2">
      <c r="B84" s="1246" t="s">
        <v>52</v>
      </c>
      <c r="C84" s="1242" t="s">
        <v>1540</v>
      </c>
      <c r="D84" s="1243" t="s">
        <v>1541</v>
      </c>
      <c r="E84" s="1243" t="s">
        <v>1542</v>
      </c>
      <c r="F84" s="1244" t="s">
        <v>1543</v>
      </c>
      <c r="G84" s="1242" t="s">
        <v>974</v>
      </c>
      <c r="H84" s="1243" t="s">
        <v>332</v>
      </c>
      <c r="I84" s="1243" t="s">
        <v>333</v>
      </c>
      <c r="J84" s="1244" t="s">
        <v>368</v>
      </c>
      <c r="K84" s="1247" t="s">
        <v>975</v>
      </c>
      <c r="L84" s="1245" t="s">
        <v>369</v>
      </c>
      <c r="M84" s="1242" t="s">
        <v>1247</v>
      </c>
      <c r="N84" s="1243" t="s">
        <v>341</v>
      </c>
      <c r="O84" s="1243" t="s">
        <v>370</v>
      </c>
      <c r="P84" s="1244" t="s">
        <v>343</v>
      </c>
    </row>
    <row r="85" spans="2:16" s="28" customFormat="1" x14ac:dyDescent="0.2">
      <c r="B85" s="1255" t="s">
        <v>1230</v>
      </c>
      <c r="C85" s="1256">
        <f>Inputs!C260</f>
        <v>0</v>
      </c>
      <c r="D85" s="1680">
        <f>C85*'Emission Factors'!$D$131</f>
        <v>0</v>
      </c>
      <c r="E85" s="1676">
        <f>C85*'Emission Factors'!$E$131</f>
        <v>0</v>
      </c>
      <c r="F85" s="1682">
        <f>C85*'Emission Factors'!$F$131</f>
        <v>0</v>
      </c>
      <c r="G85" s="1256">
        <f>Inputs!D260</f>
        <v>0</v>
      </c>
      <c r="H85" s="1059">
        <f>G85*'Emission Factors'!$D$130</f>
        <v>0</v>
      </c>
      <c r="I85" s="1060">
        <f>G85*'Emission Factors'!$E$130</f>
        <v>0</v>
      </c>
      <c r="J85" s="1061">
        <f>G85*'Emission Factors'!$F$130</f>
        <v>0</v>
      </c>
      <c r="K85" s="1257">
        <f>Inputs!E260</f>
        <v>0</v>
      </c>
      <c r="L85" s="1258">
        <f>K85*'Emission Factors'!$E$132</f>
        <v>0</v>
      </c>
      <c r="M85" s="1256">
        <f>Inputs!F260</f>
        <v>0</v>
      </c>
      <c r="N85" s="1259">
        <f>M85*'Emission Factors'!$G$43</f>
        <v>0</v>
      </c>
      <c r="O85" s="496">
        <f>M85*'Emission Factors'!$H$43</f>
        <v>0</v>
      </c>
      <c r="P85" s="1260">
        <f>M85*'Emission Factors'!$I$43</f>
        <v>0</v>
      </c>
    </row>
    <row r="86" spans="2:16" s="28" customFormat="1" x14ac:dyDescent="0.2">
      <c r="B86" s="1240" t="s">
        <v>1231</v>
      </c>
      <c r="C86" s="1239">
        <f>Inputs!C261</f>
        <v>0</v>
      </c>
      <c r="D86" s="1681">
        <f>C86*'Emission Factors'!$D$131</f>
        <v>0</v>
      </c>
      <c r="E86" s="1677">
        <f>C86*'Emission Factors'!$E$131</f>
        <v>0</v>
      </c>
      <c r="F86" s="1683">
        <f>C86*'Emission Factors'!$F$131</f>
        <v>0</v>
      </c>
      <c r="G86" s="1239">
        <f>Inputs!D261</f>
        <v>0</v>
      </c>
      <c r="H86" s="339">
        <f>G86*'Emission Factors'!$D$130</f>
        <v>0</v>
      </c>
      <c r="I86" s="370">
        <f>G86*'Emission Factors'!$E$130</f>
        <v>0</v>
      </c>
      <c r="J86" s="1065">
        <f>G86*'Emission Factors'!$F$130</f>
        <v>0</v>
      </c>
      <c r="K86" s="1261">
        <f>Inputs!E261</f>
        <v>0</v>
      </c>
      <c r="L86" s="1235">
        <f>K86*'Emission Factors'!$E$132</f>
        <v>0</v>
      </c>
      <c r="M86" s="1239">
        <f>Inputs!F261</f>
        <v>0</v>
      </c>
      <c r="N86" s="1224">
        <f>M86*'Emission Factors'!$G$43</f>
        <v>0</v>
      </c>
      <c r="O86" s="401">
        <f>M86*'Emission Factors'!$H$43</f>
        <v>0</v>
      </c>
      <c r="P86" s="1225">
        <f>M86*'Emission Factors'!$I$43</f>
        <v>0</v>
      </c>
    </row>
    <row r="87" spans="2:16" s="28" customFormat="1" x14ac:dyDescent="0.2">
      <c r="B87" s="1262" t="s">
        <v>1232</v>
      </c>
      <c r="C87" s="1239">
        <f>Inputs!C262</f>
        <v>0</v>
      </c>
      <c r="D87" s="1681">
        <f>C87*'Emission Factors'!$D$131</f>
        <v>0</v>
      </c>
      <c r="E87" s="1678">
        <f>C87*'Emission Factors'!$E$131</f>
        <v>0</v>
      </c>
      <c r="F87" s="1684">
        <f>C87*'Emission Factors'!$F$131</f>
        <v>0</v>
      </c>
      <c r="G87" s="1263">
        <f>Inputs!D262</f>
        <v>0</v>
      </c>
      <c r="H87" s="1264">
        <f>G87*'Emission Factors'!$D$130</f>
        <v>0</v>
      </c>
      <c r="I87" s="1265">
        <f>G87*'Emission Factors'!$E$130</f>
        <v>0</v>
      </c>
      <c r="J87" s="1266">
        <f>G87*'Emission Factors'!$F$130</f>
        <v>0</v>
      </c>
      <c r="K87" s="1267">
        <f>Inputs!E262</f>
        <v>0</v>
      </c>
      <c r="L87" s="1268">
        <f>K87*'Emission Factors'!$E$132</f>
        <v>0</v>
      </c>
      <c r="M87" s="1263">
        <f>Inputs!F262</f>
        <v>0</v>
      </c>
      <c r="N87" s="1269">
        <f>M87*'Emission Factors'!$G$43</f>
        <v>0</v>
      </c>
      <c r="O87" s="1270">
        <f>M87*'Emission Factors'!$H$43</f>
        <v>0</v>
      </c>
      <c r="P87" s="1271">
        <f>M87*'Emission Factors'!$I$43</f>
        <v>0</v>
      </c>
    </row>
    <row r="88" spans="2:16" s="28" customFormat="1" x14ac:dyDescent="0.2">
      <c r="B88" s="1262" t="s">
        <v>1640</v>
      </c>
      <c r="C88" s="1239">
        <f>Inputs!C267</f>
        <v>0</v>
      </c>
      <c r="D88" s="1681">
        <f>C88*'Emission Factors'!$D$131</f>
        <v>0</v>
      </c>
      <c r="E88" s="1678">
        <f>C88*'Emission Factors'!$E$131</f>
        <v>0</v>
      </c>
      <c r="F88" s="1684">
        <f>C88*'Emission Factors'!$F$131</f>
        <v>0</v>
      </c>
      <c r="G88" s="1263">
        <f>Inputs!D267</f>
        <v>0</v>
      </c>
      <c r="H88" s="1264">
        <f>G88*'Emission Factors'!$D$130</f>
        <v>0</v>
      </c>
      <c r="I88" s="1265">
        <f>G88*'Emission Factors'!$E$130</f>
        <v>0</v>
      </c>
      <c r="J88" s="1266">
        <f>G88*'Emission Factors'!$F$130</f>
        <v>0</v>
      </c>
      <c r="K88" s="1267">
        <f>Inputs!E267</f>
        <v>0</v>
      </c>
      <c r="L88" s="1268">
        <f>K88*'Emission Factors'!$E$132</f>
        <v>0</v>
      </c>
      <c r="M88" s="1263">
        <f>Inputs!F267</f>
        <v>0</v>
      </c>
      <c r="N88" s="1269">
        <f>M88*'Emission Factors'!$G$43</f>
        <v>0</v>
      </c>
      <c r="O88" s="1270">
        <f>M88*'Emission Factors'!$H$43</f>
        <v>0</v>
      </c>
      <c r="P88" s="1271">
        <f>M88*'Emission Factors'!$I$43</f>
        <v>0</v>
      </c>
    </row>
    <row r="89" spans="2:16" s="28" customFormat="1" ht="13.5" thickBot="1" x14ac:dyDescent="0.25">
      <c r="B89" s="1249" t="s">
        <v>1240</v>
      </c>
      <c r="C89" s="1250">
        <f t="shared" ref="C89:H89" si="8">SUM(C85:C88)</f>
        <v>0</v>
      </c>
      <c r="D89" s="1840">
        <f t="shared" si="8"/>
        <v>0</v>
      </c>
      <c r="E89" s="1679">
        <f t="shared" si="8"/>
        <v>0</v>
      </c>
      <c r="F89" s="1841">
        <f t="shared" si="8"/>
        <v>0</v>
      </c>
      <c r="G89" s="1250">
        <f t="shared" si="8"/>
        <v>0</v>
      </c>
      <c r="H89" s="1251">
        <f t="shared" si="8"/>
        <v>0</v>
      </c>
      <c r="I89" s="1251">
        <f t="shared" ref="I89:J89" si="9">SUM(I85:I88)</f>
        <v>0</v>
      </c>
      <c r="J89" s="1251">
        <f t="shared" si="9"/>
        <v>0</v>
      </c>
      <c r="K89" s="1253">
        <f t="shared" ref="K89:P89" si="10">SUM(K85:K88)</f>
        <v>0</v>
      </c>
      <c r="L89" s="1254">
        <f t="shared" si="10"/>
        <v>0</v>
      </c>
      <c r="M89" s="1250">
        <f t="shared" si="10"/>
        <v>0</v>
      </c>
      <c r="N89" s="1251">
        <f t="shared" si="10"/>
        <v>0</v>
      </c>
      <c r="O89" s="1251">
        <f t="shared" si="10"/>
        <v>0</v>
      </c>
      <c r="P89" s="1252">
        <f t="shared" si="10"/>
        <v>0</v>
      </c>
    </row>
    <row r="90" spans="2:16" s="28" customFormat="1" ht="108" customHeight="1" thickBot="1" x14ac:dyDescent="0.25">
      <c r="B90" s="1996" t="s">
        <v>1398</v>
      </c>
      <c r="C90" s="2217"/>
      <c r="D90" s="2217"/>
      <c r="E90" s="1959"/>
      <c r="F90" s="54"/>
      <c r="G90" s="54"/>
      <c r="H90" s="54"/>
    </row>
    <row r="91" spans="2:16" s="28" customFormat="1" ht="13.5" thickBot="1" x14ac:dyDescent="0.25">
      <c r="B91" s="29"/>
      <c r="C91" s="29"/>
      <c r="D91" s="29"/>
      <c r="E91" s="29"/>
      <c r="F91" s="29"/>
      <c r="J91" s="54"/>
      <c r="K91" s="54"/>
      <c r="L91" s="54"/>
      <c r="M91" s="54"/>
      <c r="N91" s="54"/>
    </row>
    <row r="92" spans="2:16" s="6" customFormat="1" ht="14.25" customHeight="1" thickBot="1" x14ac:dyDescent="0.25">
      <c r="B92" s="2012" t="s">
        <v>1239</v>
      </c>
      <c r="C92" s="2191"/>
      <c r="D92" s="2191"/>
      <c r="E92" s="2191"/>
      <c r="F92" s="2191"/>
      <c r="G92" s="2191"/>
      <c r="H92" s="2191"/>
      <c r="I92" s="2192"/>
    </row>
    <row r="93" spans="2:16" s="6" customFormat="1" ht="48.75" customHeight="1" x14ac:dyDescent="0.2">
      <c r="B93" s="1780" t="s">
        <v>225</v>
      </c>
      <c r="C93" s="101" t="s">
        <v>245</v>
      </c>
      <c r="D93" s="101" t="s">
        <v>244</v>
      </c>
      <c r="E93" s="101" t="s">
        <v>56</v>
      </c>
      <c r="F93" s="1836" t="s">
        <v>363</v>
      </c>
      <c r="G93" s="1836" t="s">
        <v>364</v>
      </c>
      <c r="H93" s="1836" t="s">
        <v>365</v>
      </c>
      <c r="I93" s="1783" t="s">
        <v>1636</v>
      </c>
    </row>
    <row r="94" spans="2:16" s="28" customFormat="1" x14ac:dyDescent="0.2">
      <c r="B94" s="493" t="s">
        <v>1229</v>
      </c>
      <c r="C94" s="494">
        <f>P77</f>
        <v>0</v>
      </c>
      <c r="D94" s="492">
        <f>'Stationary Energy - Buildings'!F211</f>
        <v>5.1268439097118021E-2</v>
      </c>
      <c r="E94" s="521">
        <f>D94*C94</f>
        <v>0</v>
      </c>
      <c r="F94" s="1152">
        <f>E94*'Emission Factors'!$G$43</f>
        <v>0</v>
      </c>
      <c r="G94" s="1153">
        <f>E94*'Emission Factors'!$H$43</f>
        <v>0</v>
      </c>
      <c r="H94" s="1834">
        <f>E94*'Emission Factors'!$I$43</f>
        <v>0</v>
      </c>
      <c r="I94" s="1837">
        <f>(F94*'Emission Factors'!$B$126)+G94+(H94*'Emission Factors'!$C$126)</f>
        <v>0</v>
      </c>
    </row>
    <row r="95" spans="2:16" s="28" customFormat="1" x14ac:dyDescent="0.2">
      <c r="B95" s="493" t="s">
        <v>53</v>
      </c>
      <c r="C95" s="494">
        <f>P78</f>
        <v>0</v>
      </c>
      <c r="D95" s="492">
        <f>'Stationary Energy - Buildings'!F211</f>
        <v>5.1268439097118021E-2</v>
      </c>
      <c r="E95" s="521">
        <f t="shared" ref="E95" si="11">D95*C95</f>
        <v>0</v>
      </c>
      <c r="F95" s="1152">
        <f>E95*'Emission Factors'!$G$43</f>
        <v>0</v>
      </c>
      <c r="G95" s="1153">
        <f>E95*'Emission Factors'!$H$43</f>
        <v>0</v>
      </c>
      <c r="H95" s="1834">
        <f>E95*'Emission Factors'!$I$43</f>
        <v>0</v>
      </c>
      <c r="I95" s="1837">
        <f>(F95*'Emission Factors'!$B$126)+G95+(H95*'Emission Factors'!$C$126)</f>
        <v>0</v>
      </c>
    </row>
    <row r="96" spans="2:16" s="6" customFormat="1" x14ac:dyDescent="0.2">
      <c r="B96" s="493" t="s">
        <v>1637</v>
      </c>
      <c r="C96" s="494" t="e">
        <f>M43</f>
        <v>#DIV/0!</v>
      </c>
      <c r="D96" s="492">
        <f>'Stationary Energy - Buildings'!F211</f>
        <v>5.1268439097118021E-2</v>
      </c>
      <c r="E96" s="521" t="e">
        <f t="shared" ref="E96:E97" si="12">D96*C96</f>
        <v>#DIV/0!</v>
      </c>
      <c r="F96" s="1833" t="e">
        <f>E96*'Emission Factors'!$G$43</f>
        <v>#DIV/0!</v>
      </c>
      <c r="G96" s="1153" t="e">
        <f>E96*'Emission Factors'!$H$43</f>
        <v>#DIV/0!</v>
      </c>
      <c r="H96" s="1834" t="e">
        <f>E96*'Emission Factors'!$I$43</f>
        <v>#DIV/0!</v>
      </c>
      <c r="I96" s="1837" t="e">
        <f>(F96*'Emission Factors'!$B$126)+G96+(H96*'Emission Factors'!$C$126)</f>
        <v>#DIV/0!</v>
      </c>
    </row>
    <row r="97" spans="2:9" s="28" customFormat="1" ht="13.5" thickBot="1" x14ac:dyDescent="0.25">
      <c r="B97" s="1831" t="s">
        <v>1638</v>
      </c>
      <c r="C97" s="1832" t="e">
        <f>M54</f>
        <v>#DIV/0!</v>
      </c>
      <c r="D97" s="492">
        <f>'Stationary Energy - Buildings'!F211</f>
        <v>5.1268439097118021E-2</v>
      </c>
      <c r="E97" s="521" t="e">
        <f t="shared" si="12"/>
        <v>#DIV/0!</v>
      </c>
      <c r="F97" s="1833" t="e">
        <f>E97*'Emission Factors'!$G$43</f>
        <v>#DIV/0!</v>
      </c>
      <c r="G97" s="1153" t="e">
        <f>E97*'Emission Factors'!$H$43</f>
        <v>#DIV/0!</v>
      </c>
      <c r="H97" s="1834" t="e">
        <f>E97*'Emission Factors'!$I$43</f>
        <v>#DIV/0!</v>
      </c>
      <c r="I97" s="1839" t="e">
        <f>(F97*'Emission Factors'!$B$126)+G97+(H97*'Emission Factors'!$C$126)</f>
        <v>#DIV/0!</v>
      </c>
    </row>
    <row r="98" spans="2:9" s="28" customFormat="1" ht="13.5" thickBot="1" x14ac:dyDescent="0.25">
      <c r="B98" s="171" t="s">
        <v>220</v>
      </c>
      <c r="C98" s="523" t="e">
        <f>SUM(C94:C97)</f>
        <v>#DIV/0!</v>
      </c>
      <c r="D98" s="524">
        <f>'Stationary Energy - Buildings'!F211</f>
        <v>5.1268439097118021E-2</v>
      </c>
      <c r="E98" s="523" t="e">
        <f>SUM(E94:E97)</f>
        <v>#DIV/0!</v>
      </c>
      <c r="F98" s="525" t="e">
        <f>SUM(F94:F97)</f>
        <v>#DIV/0!</v>
      </c>
      <c r="G98" s="525" t="e">
        <f>SUM(G94:G97)</f>
        <v>#DIV/0!</v>
      </c>
      <c r="H98" s="1835" t="e">
        <f>SUM(H94:H97)</f>
        <v>#DIV/0!</v>
      </c>
      <c r="I98" s="1838" t="e">
        <f>SUM(I94:I97)</f>
        <v>#DIV/0!</v>
      </c>
    </row>
    <row r="99" spans="2:9" s="28" customFormat="1" ht="44.25" customHeight="1" thickBot="1" x14ac:dyDescent="0.25">
      <c r="B99" s="2330" t="s">
        <v>1185</v>
      </c>
      <c r="C99" s="2259"/>
      <c r="D99" s="2259"/>
      <c r="E99" s="2331"/>
      <c r="F99" s="217" t="s">
        <v>202</v>
      </c>
    </row>
    <row r="100" spans="2:9" s="6" customFormat="1" x14ac:dyDescent="0.2"/>
    <row r="101" spans="2:9" s="6" customFormat="1" ht="16.5" customHeight="1" x14ac:dyDescent="0.2"/>
    <row r="102" spans="2:9" s="6" customFormat="1" ht="63.75" customHeight="1" x14ac:dyDescent="0.2"/>
    <row r="103" spans="2:9" s="6" customFormat="1" x14ac:dyDescent="0.2"/>
    <row r="104" spans="2:9" s="6" customFormat="1" x14ac:dyDescent="0.2"/>
    <row r="105" spans="2:9" s="6" customFormat="1" x14ac:dyDescent="0.2"/>
    <row r="106" spans="2:9" s="6" customFormat="1" x14ac:dyDescent="0.2"/>
    <row r="107" spans="2:9" s="6" customFormat="1" x14ac:dyDescent="0.2"/>
    <row r="108" spans="2:9" s="6" customFormat="1" x14ac:dyDescent="0.2"/>
    <row r="109" spans="2:9" s="6" customFormat="1" x14ac:dyDescent="0.2"/>
    <row r="110" spans="2:9" s="6" customFormat="1" x14ac:dyDescent="0.2"/>
    <row r="111" spans="2:9" s="6" customFormat="1" x14ac:dyDescent="0.2"/>
    <row r="112" spans="2:9" s="6" customFormat="1" x14ac:dyDescent="0.2"/>
    <row r="113" s="6" customFormat="1" x14ac:dyDescent="0.2"/>
    <row r="114" s="6" customFormat="1" x14ac:dyDescent="0.2"/>
    <row r="115" s="6" customFormat="1" x14ac:dyDescent="0.2"/>
    <row r="116" s="6" customFormat="1" x14ac:dyDescent="0.2"/>
    <row r="117" s="6" customFormat="1" x14ac:dyDescent="0.2"/>
    <row r="118" s="6" customFormat="1" x14ac:dyDescent="0.2"/>
    <row r="119" s="6" customFormat="1" x14ac:dyDescent="0.2"/>
    <row r="120" s="6" customFormat="1" x14ac:dyDescent="0.2"/>
    <row r="121" s="6" customFormat="1" x14ac:dyDescent="0.2"/>
    <row r="122" s="6" customFormat="1" x14ac:dyDescent="0.2"/>
    <row r="123" s="6" customFormat="1" x14ac:dyDescent="0.2"/>
    <row r="124" s="6" customFormat="1" x14ac:dyDescent="0.2"/>
    <row r="125" s="6" customFormat="1" x14ac:dyDescent="0.2"/>
    <row r="126" s="6" customFormat="1" x14ac:dyDescent="0.2"/>
    <row r="127" s="6" customFormat="1" x14ac:dyDescent="0.2"/>
    <row r="128" s="6" customFormat="1" x14ac:dyDescent="0.2"/>
    <row r="129" s="6" customFormat="1" x14ac:dyDescent="0.2"/>
    <row r="130" s="6" customFormat="1" x14ac:dyDescent="0.2"/>
    <row r="131" s="6" customFormat="1" x14ac:dyDescent="0.2"/>
    <row r="132" s="6" customFormat="1" x14ac:dyDescent="0.2"/>
    <row r="133" s="6" customFormat="1" x14ac:dyDescent="0.2"/>
    <row r="134" s="6" customFormat="1" x14ac:dyDescent="0.2"/>
    <row r="135" s="6" customFormat="1" x14ac:dyDescent="0.2"/>
    <row r="136" s="6" customFormat="1" x14ac:dyDescent="0.2"/>
    <row r="137" s="6" customFormat="1" x14ac:dyDescent="0.2"/>
    <row r="138" s="6" customFormat="1" x14ac:dyDescent="0.2"/>
    <row r="139" s="6" customFormat="1" x14ac:dyDescent="0.2"/>
    <row r="140" s="6" customFormat="1" x14ac:dyDescent="0.2"/>
    <row r="141" s="6" customFormat="1" x14ac:dyDescent="0.2"/>
    <row r="142" s="6" customFormat="1" x14ac:dyDescent="0.2"/>
    <row r="143" s="6" customFormat="1" x14ac:dyDescent="0.2"/>
    <row r="144" s="6" customFormat="1" x14ac:dyDescent="0.2"/>
    <row r="145" s="6" customFormat="1" x14ac:dyDescent="0.2"/>
    <row r="146" s="6" customFormat="1" x14ac:dyDescent="0.2"/>
    <row r="147" s="6" customFormat="1" x14ac:dyDescent="0.2"/>
    <row r="148" s="6" customFormat="1" x14ac:dyDescent="0.2"/>
    <row r="149" s="6" customFormat="1" x14ac:dyDescent="0.2"/>
    <row r="150" s="6" customFormat="1" x14ac:dyDescent="0.2"/>
    <row r="151" s="6" customFormat="1" x14ac:dyDescent="0.2"/>
    <row r="152" s="6" customFormat="1" x14ac:dyDescent="0.2"/>
    <row r="153" s="6" customFormat="1" x14ac:dyDescent="0.2"/>
    <row r="154" s="6" customFormat="1" x14ac:dyDescent="0.2"/>
    <row r="155" s="6" customFormat="1" x14ac:dyDescent="0.2"/>
    <row r="156" s="6" customFormat="1" x14ac:dyDescent="0.2"/>
    <row r="157" s="6" customFormat="1" x14ac:dyDescent="0.2"/>
    <row r="158" s="6" customFormat="1" x14ac:dyDescent="0.2"/>
    <row r="159" s="6" customFormat="1" x14ac:dyDescent="0.2"/>
    <row r="160" s="6" customFormat="1" x14ac:dyDescent="0.2"/>
    <row r="161" s="6" customFormat="1" x14ac:dyDescent="0.2"/>
    <row r="162" s="6" customFormat="1" x14ac:dyDescent="0.2"/>
    <row r="163" s="6" customFormat="1" x14ac:dyDescent="0.2"/>
    <row r="164" s="6" customFormat="1" x14ac:dyDescent="0.2"/>
    <row r="165" s="6" customFormat="1" x14ac:dyDescent="0.2"/>
    <row r="166" s="6" customFormat="1" x14ac:dyDescent="0.2"/>
    <row r="167" s="6" customFormat="1" x14ac:dyDescent="0.2"/>
    <row r="168" s="6" customFormat="1" x14ac:dyDescent="0.2"/>
    <row r="169" s="6" customFormat="1" x14ac:dyDescent="0.2"/>
    <row r="170" s="6" customFormat="1" x14ac:dyDescent="0.2"/>
    <row r="171" s="6" customFormat="1" x14ac:dyDescent="0.2"/>
    <row r="172" s="6" customFormat="1" x14ac:dyDescent="0.2"/>
    <row r="173" s="6" customFormat="1" x14ac:dyDescent="0.2"/>
    <row r="174" s="6" customFormat="1" x14ac:dyDescent="0.2"/>
    <row r="175" s="6" customFormat="1" x14ac:dyDescent="0.2"/>
    <row r="176" s="6" customFormat="1" x14ac:dyDescent="0.2"/>
    <row r="177" s="6" customFormat="1" x14ac:dyDescent="0.2"/>
    <row r="178" s="6" customFormat="1" x14ac:dyDescent="0.2"/>
    <row r="179" s="6" customFormat="1" x14ac:dyDescent="0.2"/>
    <row r="180" s="6" customFormat="1" x14ac:dyDescent="0.2"/>
    <row r="181" s="6" customFormat="1" x14ac:dyDescent="0.2"/>
    <row r="182" s="6" customFormat="1" x14ac:dyDescent="0.2"/>
    <row r="183" s="6" customFormat="1" x14ac:dyDescent="0.2"/>
    <row r="184" s="6" customFormat="1" x14ac:dyDescent="0.2"/>
    <row r="185" s="6" customFormat="1" x14ac:dyDescent="0.2"/>
    <row r="186" s="6" customFormat="1" x14ac:dyDescent="0.2"/>
    <row r="187" s="6" customFormat="1" x14ac:dyDescent="0.2"/>
    <row r="188" s="6" customFormat="1" x14ac:dyDescent="0.2"/>
    <row r="189" s="6" customFormat="1" x14ac:dyDescent="0.2"/>
    <row r="190" s="6" customFormat="1" x14ac:dyDescent="0.2"/>
    <row r="191" s="6" customFormat="1" x14ac:dyDescent="0.2"/>
    <row r="192" s="6" customFormat="1" x14ac:dyDescent="0.2"/>
    <row r="193" s="6" customFormat="1" x14ac:dyDescent="0.2"/>
    <row r="194" s="6" customFormat="1" x14ac:dyDescent="0.2"/>
    <row r="195" s="6" customFormat="1" x14ac:dyDescent="0.2"/>
    <row r="196" s="6" customFormat="1" x14ac:dyDescent="0.2"/>
    <row r="197" s="6" customFormat="1" x14ac:dyDescent="0.2"/>
    <row r="198" s="6" customFormat="1" x14ac:dyDescent="0.2"/>
    <row r="199" s="6" customFormat="1" x14ac:dyDescent="0.2"/>
    <row r="200" s="6" customFormat="1" x14ac:dyDescent="0.2"/>
    <row r="201" s="6" customFormat="1" x14ac:dyDescent="0.2"/>
    <row r="202" s="6" customFormat="1" x14ac:dyDescent="0.2"/>
    <row r="203" s="6" customFormat="1" x14ac:dyDescent="0.2"/>
    <row r="204" s="6" customFormat="1" x14ac:dyDescent="0.2"/>
    <row r="205" s="6" customFormat="1" x14ac:dyDescent="0.2"/>
    <row r="206" s="6" customFormat="1" x14ac:dyDescent="0.2"/>
    <row r="207" s="6" customFormat="1" x14ac:dyDescent="0.2"/>
    <row r="208" s="6" customFormat="1" x14ac:dyDescent="0.2"/>
    <row r="209" s="6" customFormat="1" x14ac:dyDescent="0.2"/>
    <row r="210" s="6" customFormat="1" x14ac:dyDescent="0.2"/>
    <row r="211" s="6" customFormat="1" x14ac:dyDescent="0.2"/>
    <row r="212" s="6" customFormat="1" x14ac:dyDescent="0.2"/>
    <row r="213" s="6" customFormat="1" x14ac:dyDescent="0.2"/>
    <row r="214" s="6" customFormat="1" x14ac:dyDescent="0.2"/>
    <row r="215" s="6" customFormat="1" x14ac:dyDescent="0.2"/>
    <row r="216" s="6" customFormat="1" x14ac:dyDescent="0.2"/>
    <row r="217" s="6" customFormat="1" x14ac:dyDescent="0.2"/>
    <row r="218" s="6" customFormat="1" x14ac:dyDescent="0.2"/>
    <row r="219" s="6" customFormat="1" x14ac:dyDescent="0.2"/>
    <row r="220" s="6" customFormat="1" x14ac:dyDescent="0.2"/>
    <row r="221" s="6" customFormat="1" x14ac:dyDescent="0.2"/>
    <row r="222" s="6" customFormat="1" x14ac:dyDescent="0.2"/>
    <row r="223" s="6" customFormat="1" x14ac:dyDescent="0.2"/>
    <row r="224" s="6" customFormat="1" x14ac:dyDescent="0.2"/>
    <row r="225" s="6" customFormat="1" x14ac:dyDescent="0.2"/>
    <row r="226" s="6" customFormat="1" x14ac:dyDescent="0.2"/>
    <row r="227" s="6" customFormat="1" x14ac:dyDescent="0.2"/>
    <row r="228" s="6" customFormat="1" x14ac:dyDescent="0.2"/>
    <row r="229" s="6" customFormat="1" x14ac:dyDescent="0.2"/>
    <row r="230" s="6" customFormat="1" x14ac:dyDescent="0.2"/>
    <row r="231" s="6" customFormat="1" x14ac:dyDescent="0.2"/>
    <row r="232" s="6" customFormat="1" x14ac:dyDescent="0.2"/>
    <row r="233" s="6" customFormat="1" x14ac:dyDescent="0.2"/>
    <row r="234" s="6" customFormat="1" x14ac:dyDescent="0.2"/>
    <row r="235" s="6" customFormat="1" x14ac:dyDescent="0.2"/>
    <row r="236" s="6" customFormat="1" x14ac:dyDescent="0.2"/>
    <row r="237" s="6" customFormat="1" x14ac:dyDescent="0.2"/>
    <row r="238" s="6" customFormat="1" x14ac:dyDescent="0.2"/>
    <row r="239" s="6" customFormat="1" x14ac:dyDescent="0.2"/>
    <row r="240" s="6" customFormat="1" x14ac:dyDescent="0.2"/>
    <row r="241" s="6" customFormat="1" x14ac:dyDescent="0.2"/>
    <row r="242" s="6" customFormat="1" x14ac:dyDescent="0.2"/>
    <row r="243" s="6" customFormat="1" x14ac:dyDescent="0.2"/>
    <row r="244" s="6" customFormat="1" x14ac:dyDescent="0.2"/>
    <row r="245" s="6" customFormat="1" x14ac:dyDescent="0.2"/>
    <row r="246" s="6" customFormat="1" x14ac:dyDescent="0.2"/>
    <row r="247" s="6" customFormat="1" x14ac:dyDescent="0.2"/>
    <row r="248" s="6" customFormat="1" x14ac:dyDescent="0.2"/>
    <row r="249" s="6" customFormat="1" x14ac:dyDescent="0.2"/>
    <row r="250" s="6" customFormat="1" x14ac:dyDescent="0.2"/>
    <row r="251" s="6" customFormat="1" x14ac:dyDescent="0.2"/>
    <row r="252" s="6" customFormat="1" x14ac:dyDescent="0.2"/>
    <row r="253" s="6" customFormat="1" x14ac:dyDescent="0.2"/>
    <row r="254" s="6" customFormat="1" x14ac:dyDescent="0.2"/>
    <row r="255" s="6" customFormat="1" x14ac:dyDescent="0.2"/>
    <row r="256" s="6" customFormat="1" x14ac:dyDescent="0.2"/>
    <row r="257" s="6" customFormat="1" x14ac:dyDescent="0.2"/>
    <row r="258" s="6" customFormat="1" x14ac:dyDescent="0.2"/>
    <row r="259" s="6" customFormat="1" x14ac:dyDescent="0.2"/>
    <row r="260" s="6" customFormat="1" x14ac:dyDescent="0.2"/>
    <row r="261" s="6" customFormat="1" x14ac:dyDescent="0.2"/>
    <row r="262" s="6" customFormat="1" x14ac:dyDescent="0.2"/>
    <row r="263" s="6" customFormat="1" x14ac:dyDescent="0.2"/>
    <row r="264" s="6" customFormat="1" x14ac:dyDescent="0.2"/>
    <row r="265" s="6" customFormat="1" x14ac:dyDescent="0.2"/>
    <row r="266" s="6" customFormat="1" x14ac:dyDescent="0.2"/>
    <row r="267" s="6" customFormat="1" x14ac:dyDescent="0.2"/>
    <row r="268" s="6" customFormat="1" x14ac:dyDescent="0.2"/>
    <row r="269" s="6" customFormat="1" x14ac:dyDescent="0.2"/>
    <row r="270" s="6" customFormat="1" x14ac:dyDescent="0.2"/>
    <row r="271" s="6" customFormat="1" x14ac:dyDescent="0.2"/>
    <row r="272" s="6" customFormat="1" x14ac:dyDescent="0.2"/>
    <row r="273" s="6" customFormat="1" x14ac:dyDescent="0.2"/>
    <row r="274" s="6" customFormat="1" x14ac:dyDescent="0.2"/>
    <row r="275" s="6" customFormat="1" x14ac:dyDescent="0.2"/>
    <row r="276" s="6" customFormat="1" x14ac:dyDescent="0.2"/>
    <row r="277" s="6" customFormat="1" x14ac:dyDescent="0.2"/>
    <row r="278" s="6" customFormat="1" x14ac:dyDescent="0.2"/>
    <row r="279" s="6" customFormat="1" x14ac:dyDescent="0.2"/>
    <row r="280" s="6" customFormat="1" x14ac:dyDescent="0.2"/>
    <row r="281" s="6" customFormat="1" x14ac:dyDescent="0.2"/>
    <row r="282" s="6" customFormat="1" x14ac:dyDescent="0.2"/>
    <row r="283" s="6" customFormat="1" x14ac:dyDescent="0.2"/>
    <row r="284" s="6" customFormat="1" x14ac:dyDescent="0.2"/>
    <row r="285" s="6" customFormat="1" x14ac:dyDescent="0.2"/>
    <row r="286" s="6" customFormat="1" x14ac:dyDescent="0.2"/>
    <row r="287" s="6" customFormat="1" x14ac:dyDescent="0.2"/>
    <row r="288" s="6" customFormat="1" x14ac:dyDescent="0.2"/>
    <row r="289" s="6" customFormat="1" x14ac:dyDescent="0.2"/>
    <row r="290" s="6" customFormat="1" x14ac:dyDescent="0.2"/>
    <row r="291" s="6" customFormat="1" x14ac:dyDescent="0.2"/>
    <row r="292" s="6" customFormat="1" x14ac:dyDescent="0.2"/>
    <row r="293" s="6" customFormat="1" x14ac:dyDescent="0.2"/>
    <row r="294" s="6" customFormat="1" x14ac:dyDescent="0.2"/>
    <row r="295" s="6" customFormat="1" x14ac:dyDescent="0.2"/>
    <row r="296" s="6" customFormat="1" x14ac:dyDescent="0.2"/>
    <row r="297" s="6" customFormat="1" x14ac:dyDescent="0.2"/>
    <row r="298" s="6" customFormat="1" x14ac:dyDescent="0.2"/>
    <row r="299" s="6" customFormat="1" x14ac:dyDescent="0.2"/>
    <row r="300" s="6" customFormat="1" x14ac:dyDescent="0.2"/>
    <row r="301" s="6" customFormat="1" x14ac:dyDescent="0.2"/>
    <row r="302" s="6" customFormat="1" x14ac:dyDescent="0.2"/>
    <row r="303" s="6" customFormat="1" x14ac:dyDescent="0.2"/>
    <row r="304" s="6" customFormat="1" x14ac:dyDescent="0.2"/>
    <row r="305" s="6" customFormat="1" x14ac:dyDescent="0.2"/>
    <row r="306" s="6" customFormat="1" x14ac:dyDescent="0.2"/>
    <row r="307" s="6" customFormat="1" x14ac:dyDescent="0.2"/>
    <row r="308" s="6" customFormat="1" x14ac:dyDescent="0.2"/>
    <row r="309" s="6" customFormat="1" x14ac:dyDescent="0.2"/>
    <row r="310" s="6" customFormat="1" x14ac:dyDescent="0.2"/>
    <row r="311" s="6" customFormat="1" x14ac:dyDescent="0.2"/>
    <row r="312" s="6" customFormat="1" x14ac:dyDescent="0.2"/>
    <row r="313" s="6" customFormat="1" x14ac:dyDescent="0.2"/>
    <row r="314" s="6" customFormat="1" x14ac:dyDescent="0.2"/>
    <row r="315" s="6" customFormat="1" x14ac:dyDescent="0.2"/>
    <row r="316" s="6" customFormat="1" x14ac:dyDescent="0.2"/>
    <row r="317" s="6" customFormat="1" x14ac:dyDescent="0.2"/>
    <row r="318" s="6" customFormat="1" x14ac:dyDescent="0.2"/>
    <row r="319" s="6" customFormat="1" x14ac:dyDescent="0.2"/>
    <row r="320" s="6" customFormat="1" x14ac:dyDescent="0.2"/>
    <row r="321" s="6" customFormat="1" x14ac:dyDescent="0.2"/>
    <row r="322" s="6" customFormat="1" x14ac:dyDescent="0.2"/>
    <row r="323" s="6" customFormat="1" x14ac:dyDescent="0.2"/>
    <row r="324" s="6" customFormat="1" x14ac:dyDescent="0.2"/>
    <row r="325" s="6" customFormat="1" x14ac:dyDescent="0.2"/>
    <row r="326" s="6" customFormat="1" x14ac:dyDescent="0.2"/>
    <row r="327" s="6" customFormat="1" x14ac:dyDescent="0.2"/>
    <row r="328" s="6" customFormat="1" x14ac:dyDescent="0.2"/>
    <row r="329" s="6" customFormat="1" x14ac:dyDescent="0.2"/>
    <row r="330" s="6" customFormat="1" x14ac:dyDescent="0.2"/>
    <row r="331" s="6" customFormat="1" x14ac:dyDescent="0.2"/>
    <row r="332" s="6" customFormat="1" x14ac:dyDescent="0.2"/>
    <row r="333" s="6" customFormat="1" x14ac:dyDescent="0.2"/>
    <row r="334" s="6" customFormat="1" x14ac:dyDescent="0.2"/>
    <row r="335" s="6" customFormat="1" x14ac:dyDescent="0.2"/>
    <row r="336" s="6" customFormat="1" x14ac:dyDescent="0.2"/>
    <row r="337" s="6" customFormat="1" x14ac:dyDescent="0.2"/>
    <row r="338" s="6" customFormat="1" x14ac:dyDescent="0.2"/>
    <row r="339" s="6" customFormat="1" x14ac:dyDescent="0.2"/>
    <row r="340" s="6" customFormat="1" x14ac:dyDescent="0.2"/>
    <row r="341" s="6" customFormat="1" x14ac:dyDescent="0.2"/>
    <row r="342" s="6" customFormat="1" x14ac:dyDescent="0.2"/>
    <row r="343" s="6" customFormat="1" x14ac:dyDescent="0.2"/>
    <row r="344" s="6" customFormat="1" x14ac:dyDescent="0.2"/>
    <row r="345" s="6" customFormat="1" x14ac:dyDescent="0.2"/>
    <row r="346" s="6" customFormat="1" x14ac:dyDescent="0.2"/>
    <row r="347" s="6" customFormat="1" x14ac:dyDescent="0.2"/>
    <row r="348" s="6" customFormat="1" x14ac:dyDescent="0.2"/>
    <row r="349" s="6" customFormat="1" x14ac:dyDescent="0.2"/>
    <row r="350" s="6" customFormat="1" x14ac:dyDescent="0.2"/>
    <row r="351" s="6" customFormat="1" x14ac:dyDescent="0.2"/>
    <row r="352" s="6" customFormat="1" x14ac:dyDescent="0.2"/>
    <row r="353" s="6" customFormat="1" x14ac:dyDescent="0.2"/>
    <row r="354" s="6" customFormat="1" x14ac:dyDescent="0.2"/>
    <row r="355" s="6" customFormat="1" x14ac:dyDescent="0.2"/>
    <row r="356" s="6" customFormat="1" x14ac:dyDescent="0.2"/>
    <row r="357" s="6" customFormat="1" x14ac:dyDescent="0.2"/>
    <row r="358" s="6" customFormat="1" x14ac:dyDescent="0.2"/>
    <row r="359" s="6" customFormat="1" x14ac:dyDescent="0.2"/>
    <row r="360" s="6" customFormat="1" x14ac:dyDescent="0.2"/>
    <row r="361" s="6" customFormat="1" x14ac:dyDescent="0.2"/>
    <row r="362" s="6" customFormat="1" x14ac:dyDescent="0.2"/>
    <row r="363" s="6" customFormat="1" x14ac:dyDescent="0.2"/>
    <row r="364" s="6" customFormat="1" x14ac:dyDescent="0.2"/>
    <row r="365" s="6" customFormat="1" x14ac:dyDescent="0.2"/>
    <row r="366" s="6" customFormat="1" x14ac:dyDescent="0.2"/>
    <row r="367" s="6" customFormat="1" x14ac:dyDescent="0.2"/>
    <row r="368" s="6" customFormat="1" x14ac:dyDescent="0.2"/>
    <row r="369" s="6" customFormat="1" x14ac:dyDescent="0.2"/>
    <row r="370" s="6" customFormat="1" x14ac:dyDescent="0.2"/>
    <row r="371" s="6" customFormat="1" x14ac:dyDescent="0.2"/>
    <row r="372" s="6" customFormat="1" x14ac:dyDescent="0.2"/>
    <row r="373" s="6" customFormat="1" x14ac:dyDescent="0.2"/>
    <row r="374" s="6" customFormat="1" x14ac:dyDescent="0.2"/>
    <row r="375" s="6" customFormat="1" x14ac:dyDescent="0.2"/>
    <row r="376" s="6" customFormat="1" x14ac:dyDescent="0.2"/>
    <row r="377" s="6" customFormat="1" x14ac:dyDescent="0.2"/>
    <row r="378" s="6" customFormat="1" x14ac:dyDescent="0.2"/>
    <row r="379" s="6" customFormat="1" x14ac:dyDescent="0.2"/>
    <row r="380" s="6" customFormat="1" x14ac:dyDescent="0.2"/>
    <row r="381" s="6" customFormat="1" x14ac:dyDescent="0.2"/>
    <row r="382" s="6" customFormat="1" x14ac:dyDescent="0.2"/>
    <row r="383" s="6" customFormat="1" x14ac:dyDescent="0.2"/>
    <row r="384" s="6" customFormat="1" x14ac:dyDescent="0.2"/>
    <row r="385" s="6" customFormat="1" x14ac:dyDescent="0.2"/>
    <row r="386" s="6" customFormat="1" x14ac:dyDescent="0.2"/>
    <row r="387" s="6" customFormat="1" x14ac:dyDescent="0.2"/>
    <row r="388" s="6" customFormat="1" x14ac:dyDescent="0.2"/>
    <row r="389" s="6" customFormat="1" x14ac:dyDescent="0.2"/>
    <row r="390" s="6" customFormat="1" x14ac:dyDescent="0.2"/>
    <row r="391" s="6" customFormat="1" x14ac:dyDescent="0.2"/>
    <row r="392" s="6" customFormat="1" x14ac:dyDescent="0.2"/>
    <row r="393" s="6" customFormat="1" x14ac:dyDescent="0.2"/>
    <row r="394" s="6" customFormat="1" x14ac:dyDescent="0.2"/>
    <row r="395" s="6" customFormat="1" x14ac:dyDescent="0.2"/>
    <row r="396" s="6" customFormat="1" x14ac:dyDescent="0.2"/>
    <row r="397" s="6" customFormat="1" x14ac:dyDescent="0.2"/>
    <row r="398" s="6" customFormat="1" x14ac:dyDescent="0.2"/>
    <row r="399" s="6" customFormat="1" x14ac:dyDescent="0.2"/>
    <row r="400" s="6" customFormat="1" x14ac:dyDescent="0.2"/>
    <row r="401" s="6" customFormat="1" x14ac:dyDescent="0.2"/>
    <row r="402" s="6" customFormat="1" x14ac:dyDescent="0.2"/>
    <row r="403" s="6" customFormat="1" x14ac:dyDescent="0.2"/>
    <row r="404" s="6" customFormat="1" x14ac:dyDescent="0.2"/>
    <row r="405" s="6" customFormat="1" x14ac:dyDescent="0.2"/>
    <row r="406" s="6" customFormat="1" x14ac:dyDescent="0.2"/>
    <row r="407" s="6" customFormat="1" x14ac:dyDescent="0.2"/>
    <row r="408" s="6" customFormat="1" x14ac:dyDescent="0.2"/>
    <row r="409" s="6" customFormat="1" x14ac:dyDescent="0.2"/>
    <row r="410" s="6" customFormat="1" x14ac:dyDescent="0.2"/>
    <row r="411" s="6" customFormat="1" x14ac:dyDescent="0.2"/>
    <row r="412" s="6" customFormat="1" x14ac:dyDescent="0.2"/>
    <row r="413" s="6" customFormat="1" x14ac:dyDescent="0.2"/>
    <row r="414" s="6" customFormat="1" x14ac:dyDescent="0.2"/>
    <row r="415" s="6" customFormat="1" x14ac:dyDescent="0.2"/>
    <row r="416" s="6" customFormat="1" x14ac:dyDescent="0.2"/>
    <row r="417" s="6" customFormat="1" x14ac:dyDescent="0.2"/>
    <row r="418" s="6" customFormat="1" x14ac:dyDescent="0.2"/>
    <row r="419" s="6" customFormat="1" x14ac:dyDescent="0.2"/>
    <row r="420" s="6" customFormat="1" x14ac:dyDescent="0.2"/>
    <row r="421" s="6" customFormat="1" x14ac:dyDescent="0.2"/>
    <row r="422" s="6" customFormat="1" x14ac:dyDescent="0.2"/>
    <row r="423" s="6" customFormat="1" x14ac:dyDescent="0.2"/>
    <row r="424" s="6" customFormat="1" x14ac:dyDescent="0.2"/>
    <row r="425" s="6" customFormat="1" x14ac:dyDescent="0.2"/>
    <row r="426" s="6" customFormat="1" x14ac:dyDescent="0.2"/>
    <row r="427" s="6" customFormat="1" x14ac:dyDescent="0.2"/>
    <row r="428" s="6" customFormat="1" x14ac:dyDescent="0.2"/>
    <row r="429" s="6" customFormat="1" x14ac:dyDescent="0.2"/>
    <row r="430" s="6" customFormat="1" x14ac:dyDescent="0.2"/>
    <row r="431" s="6" customFormat="1" x14ac:dyDescent="0.2"/>
    <row r="432" s="6" customFormat="1" x14ac:dyDescent="0.2"/>
    <row r="433" s="6" customFormat="1" x14ac:dyDescent="0.2"/>
    <row r="434" s="6" customFormat="1" x14ac:dyDescent="0.2"/>
    <row r="435" s="6" customFormat="1" x14ac:dyDescent="0.2"/>
    <row r="436" s="6" customFormat="1" x14ac:dyDescent="0.2"/>
    <row r="437" s="6" customFormat="1" x14ac:dyDescent="0.2"/>
    <row r="438" s="6" customFormat="1" x14ac:dyDescent="0.2"/>
    <row r="439" s="6" customFormat="1" x14ac:dyDescent="0.2"/>
    <row r="440" s="6" customFormat="1" x14ac:dyDescent="0.2"/>
    <row r="441" s="6" customFormat="1" x14ac:dyDescent="0.2"/>
    <row r="442" s="6" customFormat="1" x14ac:dyDescent="0.2"/>
    <row r="443" s="6" customFormat="1" x14ac:dyDescent="0.2"/>
    <row r="444" s="6" customFormat="1" x14ac:dyDescent="0.2"/>
    <row r="445" s="6" customFormat="1" x14ac:dyDescent="0.2"/>
    <row r="446" s="6" customFormat="1" x14ac:dyDescent="0.2"/>
    <row r="447" s="6" customFormat="1" x14ac:dyDescent="0.2"/>
    <row r="448" s="6" customFormat="1" x14ac:dyDescent="0.2"/>
    <row r="449" s="6" customFormat="1" x14ac:dyDescent="0.2"/>
    <row r="450" s="6" customFormat="1" x14ac:dyDescent="0.2"/>
    <row r="451" s="6" customFormat="1" x14ac:dyDescent="0.2"/>
    <row r="452" s="6" customFormat="1" x14ac:dyDescent="0.2"/>
    <row r="453" s="6" customFormat="1" x14ac:dyDescent="0.2"/>
    <row r="454" s="6" customFormat="1" x14ac:dyDescent="0.2"/>
    <row r="455" s="6" customFormat="1" x14ac:dyDescent="0.2"/>
    <row r="456" s="6" customFormat="1" x14ac:dyDescent="0.2"/>
    <row r="457" s="6" customFormat="1" x14ac:dyDescent="0.2"/>
    <row r="458" s="6" customFormat="1" x14ac:dyDescent="0.2"/>
    <row r="459" s="6" customFormat="1" x14ac:dyDescent="0.2"/>
    <row r="460" s="6" customFormat="1" x14ac:dyDescent="0.2"/>
    <row r="461" s="6" customFormat="1" x14ac:dyDescent="0.2"/>
    <row r="462" s="6" customFormat="1" x14ac:dyDescent="0.2"/>
    <row r="463" s="6" customFormat="1" x14ac:dyDescent="0.2"/>
    <row r="464" s="6" customFormat="1" x14ac:dyDescent="0.2"/>
    <row r="465" s="6" customFormat="1" x14ac:dyDescent="0.2"/>
    <row r="466" s="6" customFormat="1" x14ac:dyDescent="0.2"/>
    <row r="467" s="6" customFormat="1" x14ac:dyDescent="0.2"/>
    <row r="468" s="6" customFormat="1" x14ac:dyDescent="0.2"/>
    <row r="469" s="6" customFormat="1" x14ac:dyDescent="0.2"/>
    <row r="470" s="6" customFormat="1" x14ac:dyDescent="0.2"/>
    <row r="471" s="6" customFormat="1" x14ac:dyDescent="0.2"/>
    <row r="472" s="6" customFormat="1" x14ac:dyDescent="0.2"/>
    <row r="473" s="6" customFormat="1" x14ac:dyDescent="0.2"/>
    <row r="474" s="6" customFormat="1" x14ac:dyDescent="0.2"/>
    <row r="475" s="6" customFormat="1" x14ac:dyDescent="0.2"/>
    <row r="476" s="6" customFormat="1" x14ac:dyDescent="0.2"/>
    <row r="477" s="6" customFormat="1" x14ac:dyDescent="0.2"/>
    <row r="478" s="6" customFormat="1" x14ac:dyDescent="0.2"/>
    <row r="479" s="6" customFormat="1" x14ac:dyDescent="0.2"/>
    <row r="480" s="6" customFormat="1" x14ac:dyDescent="0.2"/>
    <row r="481" s="6" customFormat="1" x14ac:dyDescent="0.2"/>
    <row r="482" s="6" customFormat="1" x14ac:dyDescent="0.2"/>
    <row r="483" s="6" customFormat="1" x14ac:dyDescent="0.2"/>
    <row r="484" s="6" customFormat="1" x14ac:dyDescent="0.2"/>
    <row r="485" s="6" customFormat="1" x14ac:dyDescent="0.2"/>
    <row r="486" s="6" customFormat="1" x14ac:dyDescent="0.2"/>
    <row r="487" s="6" customFormat="1" x14ac:dyDescent="0.2"/>
    <row r="488" s="6" customFormat="1" x14ac:dyDescent="0.2"/>
    <row r="489" s="6" customFormat="1" x14ac:dyDescent="0.2"/>
    <row r="490" s="6" customFormat="1" x14ac:dyDescent="0.2"/>
    <row r="491" s="6" customFormat="1" x14ac:dyDescent="0.2"/>
    <row r="492" s="6" customFormat="1" x14ac:dyDescent="0.2"/>
    <row r="493" s="6" customFormat="1" x14ac:dyDescent="0.2"/>
    <row r="494" s="6" customFormat="1" x14ac:dyDescent="0.2"/>
    <row r="495" s="6" customFormat="1" x14ac:dyDescent="0.2"/>
    <row r="496" s="6" customFormat="1" x14ac:dyDescent="0.2"/>
    <row r="497" s="6" customFormat="1" x14ac:dyDescent="0.2"/>
    <row r="498" s="6" customFormat="1" x14ac:dyDescent="0.2"/>
    <row r="499" s="6" customFormat="1" x14ac:dyDescent="0.2"/>
    <row r="500" s="6" customFormat="1" x14ac:dyDescent="0.2"/>
    <row r="501" s="6" customFormat="1" x14ac:dyDescent="0.2"/>
    <row r="502" s="6" customFormat="1" x14ac:dyDescent="0.2"/>
    <row r="503" s="6" customFormat="1" x14ac:dyDescent="0.2"/>
    <row r="504" s="6" customFormat="1" x14ac:dyDescent="0.2"/>
    <row r="505" s="6" customFormat="1" x14ac:dyDescent="0.2"/>
    <row r="506" s="6" customFormat="1" x14ac:dyDescent="0.2"/>
    <row r="507" s="6" customFormat="1" x14ac:dyDescent="0.2"/>
    <row r="508" s="6" customFormat="1" x14ac:dyDescent="0.2"/>
    <row r="509" s="6" customFormat="1" x14ac:dyDescent="0.2"/>
    <row r="510" s="6" customFormat="1" x14ac:dyDescent="0.2"/>
    <row r="511" s="6" customFormat="1" x14ac:dyDescent="0.2"/>
    <row r="512" s="6" customFormat="1" x14ac:dyDescent="0.2"/>
    <row r="513" s="6" customFormat="1" x14ac:dyDescent="0.2"/>
    <row r="514" s="6" customFormat="1" x14ac:dyDescent="0.2"/>
    <row r="515" s="6" customFormat="1" x14ac:dyDescent="0.2"/>
    <row r="516" s="6" customFormat="1" x14ac:dyDescent="0.2"/>
    <row r="517" s="6" customFormat="1" x14ac:dyDescent="0.2"/>
    <row r="518" s="6" customFormat="1" x14ac:dyDescent="0.2"/>
    <row r="519" s="6" customFormat="1" x14ac:dyDescent="0.2"/>
    <row r="520" s="6" customFormat="1" x14ac:dyDescent="0.2"/>
    <row r="521" s="6" customFormat="1" x14ac:dyDescent="0.2"/>
    <row r="522" s="6" customFormat="1" x14ac:dyDescent="0.2"/>
    <row r="523" s="6" customFormat="1" x14ac:dyDescent="0.2"/>
    <row r="524" s="6" customFormat="1" x14ac:dyDescent="0.2"/>
    <row r="525" s="6" customFormat="1" x14ac:dyDescent="0.2"/>
    <row r="526" s="6" customFormat="1" x14ac:dyDescent="0.2"/>
    <row r="527" s="6" customFormat="1" x14ac:dyDescent="0.2"/>
    <row r="528" s="6" customFormat="1" x14ac:dyDescent="0.2"/>
    <row r="529" s="6" customFormat="1" x14ac:dyDescent="0.2"/>
    <row r="530" s="6" customFormat="1" x14ac:dyDescent="0.2"/>
    <row r="531" s="6" customFormat="1" x14ac:dyDescent="0.2"/>
    <row r="532" s="6" customFormat="1" x14ac:dyDescent="0.2"/>
    <row r="533" s="6" customFormat="1" x14ac:dyDescent="0.2"/>
    <row r="534" s="6" customFormat="1" x14ac:dyDescent="0.2"/>
    <row r="535" s="6" customFormat="1" x14ac:dyDescent="0.2"/>
    <row r="536" s="6" customFormat="1" x14ac:dyDescent="0.2"/>
    <row r="537" s="6" customFormat="1" x14ac:dyDescent="0.2"/>
    <row r="538" s="6" customFormat="1" x14ac:dyDescent="0.2"/>
    <row r="539" s="6" customFormat="1" x14ac:dyDescent="0.2"/>
    <row r="540" s="6" customFormat="1" x14ac:dyDescent="0.2"/>
    <row r="541" s="6" customFormat="1" x14ac:dyDescent="0.2"/>
    <row r="542" s="6" customFormat="1" x14ac:dyDescent="0.2"/>
    <row r="543" s="6" customFormat="1" x14ac:dyDescent="0.2"/>
    <row r="544" s="6" customFormat="1" x14ac:dyDescent="0.2"/>
    <row r="545" s="6" customFormat="1" x14ac:dyDescent="0.2"/>
    <row r="546" s="6" customFormat="1" x14ac:dyDescent="0.2"/>
    <row r="547" s="6" customFormat="1" x14ac:dyDescent="0.2"/>
    <row r="548" s="6" customFormat="1" x14ac:dyDescent="0.2"/>
    <row r="549" s="6" customFormat="1" x14ac:dyDescent="0.2"/>
    <row r="550" s="6" customFormat="1" x14ac:dyDescent="0.2"/>
    <row r="551" s="6" customFormat="1" x14ac:dyDescent="0.2"/>
    <row r="552" s="6" customFormat="1" x14ac:dyDescent="0.2"/>
    <row r="553" s="6" customFormat="1" x14ac:dyDescent="0.2"/>
    <row r="554" s="6" customFormat="1" x14ac:dyDescent="0.2"/>
    <row r="555" s="6" customFormat="1" x14ac:dyDescent="0.2"/>
    <row r="556" s="6" customFormat="1" x14ac:dyDescent="0.2"/>
    <row r="557" s="6" customFormat="1" x14ac:dyDescent="0.2"/>
    <row r="558" s="6" customFormat="1" x14ac:dyDescent="0.2"/>
    <row r="559" s="6" customFormat="1" x14ac:dyDescent="0.2"/>
    <row r="560" s="6" customFormat="1" x14ac:dyDescent="0.2"/>
    <row r="561" spans="2:5" s="6" customFormat="1" x14ac:dyDescent="0.2"/>
    <row r="562" spans="2:5" s="6" customFormat="1" x14ac:dyDescent="0.2"/>
    <row r="563" spans="2:5" s="6" customFormat="1" x14ac:dyDescent="0.2"/>
    <row r="564" spans="2:5" s="6" customFormat="1" x14ac:dyDescent="0.2"/>
    <row r="565" spans="2:5" s="6" customFormat="1" x14ac:dyDescent="0.2"/>
    <row r="566" spans="2:5" s="6" customFormat="1" x14ac:dyDescent="0.2"/>
    <row r="567" spans="2:5" s="6" customFormat="1" x14ac:dyDescent="0.2"/>
    <row r="568" spans="2:5" s="6" customFormat="1" x14ac:dyDescent="0.2"/>
    <row r="569" spans="2:5" s="6" customFormat="1" x14ac:dyDescent="0.2"/>
    <row r="570" spans="2:5" s="6" customFormat="1" x14ac:dyDescent="0.2"/>
    <row r="571" spans="2:5" s="6" customFormat="1" x14ac:dyDescent="0.2"/>
    <row r="572" spans="2:5" s="6" customFormat="1" x14ac:dyDescent="0.2"/>
    <row r="573" spans="2:5" s="6" customFormat="1" x14ac:dyDescent="0.2">
      <c r="B573"/>
      <c r="C573"/>
      <c r="D573"/>
      <c r="E573"/>
    </row>
  </sheetData>
  <mergeCells count="33">
    <mergeCell ref="A8:F8"/>
    <mergeCell ref="B44:E44"/>
    <mergeCell ref="B33:E33"/>
    <mergeCell ref="B9:H9"/>
    <mergeCell ref="B17:D17"/>
    <mergeCell ref="B25:I25"/>
    <mergeCell ref="B35:Q35"/>
    <mergeCell ref="B19:M19"/>
    <mergeCell ref="B2:E2"/>
    <mergeCell ref="B6:E6"/>
    <mergeCell ref="C3:E3"/>
    <mergeCell ref="C4:E4"/>
    <mergeCell ref="B7:E7"/>
    <mergeCell ref="B46:Q46"/>
    <mergeCell ref="B92:I92"/>
    <mergeCell ref="B57:G57"/>
    <mergeCell ref="K75:M75"/>
    <mergeCell ref="B80:E80"/>
    <mergeCell ref="B75:E75"/>
    <mergeCell ref="M83:P83"/>
    <mergeCell ref="K83:L83"/>
    <mergeCell ref="B99:E99"/>
    <mergeCell ref="F75:J75"/>
    <mergeCell ref="B55:E55"/>
    <mergeCell ref="B72:E72"/>
    <mergeCell ref="B71:C71"/>
    <mergeCell ref="B62:E62"/>
    <mergeCell ref="B82:P82"/>
    <mergeCell ref="C83:F83"/>
    <mergeCell ref="N75:S75"/>
    <mergeCell ref="B74:S74"/>
    <mergeCell ref="B90:E90"/>
    <mergeCell ref="G83:J83"/>
  </mergeCells>
  <phoneticPr fontId="0" type="noConversion"/>
  <hyperlinks>
    <hyperlink ref="F99" r:id="rId1" xr:uid="{00000000-0004-0000-0D00-000000000000}"/>
    <hyperlink ref="E67" r:id="rId2" xr:uid="{00000000-0004-0000-0D00-000001000000}"/>
    <hyperlink ref="E66" r:id="rId3" xr:uid="{00000000-0004-0000-0D00-000002000000}"/>
    <hyperlink ref="E68" r:id="rId4" xr:uid="{00000000-0004-0000-0D00-000003000000}"/>
    <hyperlink ref="E69" r:id="rId5" xr:uid="{00000000-0004-0000-0D00-000004000000}"/>
    <hyperlink ref="E70" r:id="rId6" xr:uid="{00000000-0004-0000-0D00-000005000000}"/>
    <hyperlink ref="E65" r:id="rId7" xr:uid="{00000000-0004-0000-0D00-000006000000}"/>
    <hyperlink ref="E64" r:id="rId8" xr:uid="{00000000-0004-0000-0D00-000007000000}"/>
  </hyperlinks>
  <pageMargins left="0.75" right="0.75" top="1" bottom="1" header="0.5" footer="0.5"/>
  <pageSetup orientation="portrait" r:id="rId9"/>
  <headerFooter alignWithMargins="0"/>
  <ignoredErrors>
    <ignoredError sqref="D98 N40:P40 N51:P51 N52:P52" formula="1"/>
  </ignoredErrors>
  <drawing r:id="rId10"/>
  <legacyDrawing r:id="rId1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AW203"/>
  <sheetViews>
    <sheetView showGridLines="0" zoomScaleNormal="100" workbookViewId="0">
      <selection activeCell="D24" sqref="D24"/>
    </sheetView>
  </sheetViews>
  <sheetFormatPr defaultRowHeight="12.75" x14ac:dyDescent="0.2"/>
  <cols>
    <col min="1" max="1" width="2.85546875" style="28" customWidth="1"/>
    <col min="2" max="2" width="29.28515625" style="27" customWidth="1"/>
    <col min="3" max="3" width="25.28515625" style="27" customWidth="1"/>
    <col min="4" max="4" width="15.140625" style="27" customWidth="1"/>
    <col min="5" max="5" width="13.28515625" style="27" customWidth="1"/>
    <col min="6" max="6" width="15" style="2" customWidth="1"/>
    <col min="7" max="7" width="15.28515625" style="28" customWidth="1"/>
    <col min="8" max="8" width="14" style="28" customWidth="1"/>
    <col min="9" max="9" width="14.28515625" style="28" customWidth="1"/>
    <col min="10" max="16" width="15.28515625" style="28" customWidth="1"/>
    <col min="17" max="17" width="9.140625" style="28"/>
    <col min="18" max="18" width="10" style="28" bestFit="1" customWidth="1"/>
    <col min="19" max="49" width="9.140625" style="28"/>
    <col min="50" max="16384" width="9.140625" style="27"/>
  </cols>
  <sheetData>
    <row r="1" spans="2:16" ht="13.5" thickBot="1" x14ac:dyDescent="0.25">
      <c r="B1" s="54"/>
      <c r="C1" s="54"/>
      <c r="D1" s="54"/>
      <c r="E1" s="54"/>
      <c r="F1" s="54"/>
      <c r="G1" s="54"/>
      <c r="H1" s="54"/>
    </row>
    <row r="2" spans="2:16" ht="20.25" customHeight="1" thickBot="1" x14ac:dyDescent="0.25">
      <c r="B2" s="2284" t="s">
        <v>246</v>
      </c>
      <c r="C2" s="2364"/>
      <c r="D2" s="2364"/>
      <c r="E2" s="1966"/>
      <c r="F2" s="54"/>
      <c r="G2" s="54"/>
      <c r="H2" s="54"/>
    </row>
    <row r="3" spans="2:16" x14ac:dyDescent="0.2">
      <c r="B3" s="224" t="s">
        <v>247</v>
      </c>
      <c r="C3" s="2230" t="s">
        <v>10</v>
      </c>
      <c r="D3" s="2267"/>
      <c r="E3" s="2268"/>
      <c r="F3" s="54"/>
      <c r="G3" s="54"/>
      <c r="H3" s="54"/>
    </row>
    <row r="4" spans="2:16" ht="13.5" thickBot="1" x14ac:dyDescent="0.25">
      <c r="B4" s="225" t="s">
        <v>250</v>
      </c>
      <c r="C4" s="2269" t="s">
        <v>219</v>
      </c>
      <c r="D4" s="2113"/>
      <c r="E4" s="2270"/>
      <c r="F4" s="54"/>
      <c r="G4" s="54"/>
      <c r="H4" s="54"/>
    </row>
    <row r="5" spans="2:16" ht="13.5" thickBot="1" x14ac:dyDescent="0.25">
      <c r="B5" s="214"/>
      <c r="C5" s="214"/>
      <c r="D5" s="214"/>
      <c r="E5" s="214"/>
      <c r="F5" s="54"/>
      <c r="G5" s="54"/>
      <c r="H5" s="54"/>
    </row>
    <row r="6" spans="2:16" ht="15.75" customHeight="1" thickBot="1" x14ac:dyDescent="0.25">
      <c r="B6" s="1968" t="s">
        <v>91</v>
      </c>
      <c r="C6" s="1974"/>
      <c r="D6" s="1974"/>
      <c r="E6" s="1974"/>
      <c r="F6" s="1974"/>
      <c r="G6" s="1975"/>
      <c r="H6" s="54"/>
    </row>
    <row r="7" spans="2:16" ht="58.5" customHeight="1" thickBot="1" x14ac:dyDescent="0.25">
      <c r="B7" s="2290" t="s">
        <v>1390</v>
      </c>
      <c r="C7" s="2291"/>
      <c r="D7" s="2291"/>
      <c r="E7" s="2291"/>
      <c r="F7" s="2291"/>
      <c r="G7" s="2292"/>
      <c r="H7" s="54"/>
      <c r="K7" s="54"/>
    </row>
    <row r="8" spans="2:16" s="28" customFormat="1" ht="13.5" thickBot="1" x14ac:dyDescent="0.25">
      <c r="B8" s="74"/>
      <c r="C8" s="74"/>
      <c r="D8" s="74"/>
      <c r="E8" s="74"/>
      <c r="F8" s="74"/>
      <c r="G8" s="74"/>
      <c r="H8" s="74"/>
      <c r="I8" s="74"/>
      <c r="J8" s="74"/>
      <c r="K8" s="74"/>
    </row>
    <row r="9" spans="2:16" s="28" customFormat="1" ht="16.5" customHeight="1" thickBot="1" x14ac:dyDescent="0.25">
      <c r="B9" s="1968" t="s">
        <v>257</v>
      </c>
      <c r="C9" s="1965"/>
      <c r="D9" s="1965"/>
      <c r="E9" s="1965"/>
      <c r="F9" s="1965"/>
      <c r="G9" s="1966"/>
      <c r="H9" s="112"/>
      <c r="I9" s="112"/>
      <c r="J9" s="112"/>
    </row>
    <row r="10" spans="2:16" s="28" customFormat="1" ht="43.5" customHeight="1" x14ac:dyDescent="0.2">
      <c r="B10" s="363" t="s">
        <v>73</v>
      </c>
      <c r="C10" s="121" t="s">
        <v>222</v>
      </c>
      <c r="D10" s="122" t="s">
        <v>96</v>
      </c>
      <c r="E10" s="392" t="s">
        <v>358</v>
      </c>
      <c r="F10" s="392" t="s">
        <v>303</v>
      </c>
      <c r="G10" s="389" t="s">
        <v>359</v>
      </c>
      <c r="H10" s="112"/>
      <c r="I10" s="112"/>
      <c r="J10" s="112"/>
      <c r="K10" s="112"/>
      <c r="L10" s="112"/>
    </row>
    <row r="11" spans="2:16" s="28" customFormat="1" x14ac:dyDescent="0.2">
      <c r="B11" s="73" t="s">
        <v>8</v>
      </c>
      <c r="C11" s="1509">
        <f>'Transportation - Rail'!G25</f>
        <v>0</v>
      </c>
      <c r="D11" s="1510"/>
      <c r="E11" s="1511">
        <f>H25</f>
        <v>0</v>
      </c>
      <c r="F11" s="1512">
        <f t="shared" ref="F11:G11" si="0">I25</f>
        <v>0</v>
      </c>
      <c r="G11" s="1116">
        <f t="shared" si="0"/>
        <v>0</v>
      </c>
      <c r="H11" s="112"/>
      <c r="I11" s="112"/>
      <c r="J11" s="112"/>
      <c r="K11" s="112"/>
      <c r="L11" s="112"/>
    </row>
    <row r="12" spans="2:16" s="28" customFormat="1" x14ac:dyDescent="0.2">
      <c r="B12" s="399" t="s">
        <v>6</v>
      </c>
      <c r="C12" s="1513"/>
      <c r="D12" s="1514">
        <f>'Transportation - Rail'!M25</f>
        <v>0</v>
      </c>
      <c r="E12" s="1515">
        <f>N25</f>
        <v>0</v>
      </c>
      <c r="F12" s="1516">
        <f>O25</f>
        <v>0</v>
      </c>
      <c r="G12" s="1517">
        <f>P25</f>
        <v>0</v>
      </c>
      <c r="H12" s="112"/>
      <c r="I12" s="112"/>
      <c r="J12" s="112"/>
      <c r="K12" s="112"/>
      <c r="L12" s="112"/>
    </row>
    <row r="13" spans="2:16" s="28" customFormat="1" ht="13.5" thickBot="1" x14ac:dyDescent="0.25">
      <c r="B13" s="513" t="s">
        <v>226</v>
      </c>
      <c r="C13" s="1518"/>
      <c r="D13" s="1519">
        <f>E34</f>
        <v>0</v>
      </c>
      <c r="E13" s="1520">
        <f>F34</f>
        <v>0</v>
      </c>
      <c r="F13" s="1521">
        <f t="shared" ref="F13:G13" si="1">G34</f>
        <v>0</v>
      </c>
      <c r="G13" s="1522">
        <f t="shared" si="1"/>
        <v>0</v>
      </c>
      <c r="H13" s="362"/>
      <c r="I13" s="362"/>
      <c r="J13" s="362"/>
      <c r="K13" s="362"/>
      <c r="L13" s="362"/>
    </row>
    <row r="14" spans="2:16" s="28" customFormat="1" ht="13.5" thickBot="1" x14ac:dyDescent="0.25">
      <c r="B14" s="2369" t="s">
        <v>229</v>
      </c>
      <c r="C14" s="2370"/>
      <c r="D14" s="2371"/>
      <c r="E14" s="1523">
        <f>SUM(E11:E13)</f>
        <v>0</v>
      </c>
      <c r="F14" s="1524">
        <f>SUM(F11:F13)</f>
        <v>0</v>
      </c>
      <c r="G14" s="1525">
        <f>SUM(G11:G13)</f>
        <v>0</v>
      </c>
      <c r="H14" s="112"/>
      <c r="I14" s="112"/>
      <c r="J14" s="112"/>
      <c r="K14" s="112"/>
      <c r="L14" s="112"/>
    </row>
    <row r="15" spans="2:16" s="28" customFormat="1" ht="13.5" thickBot="1" x14ac:dyDescent="0.25">
      <c r="B15" s="184"/>
      <c r="C15" s="184"/>
      <c r="D15" s="184"/>
      <c r="E15" s="184"/>
      <c r="F15" s="184"/>
      <c r="G15" s="184"/>
      <c r="H15" s="184"/>
      <c r="I15" s="184"/>
      <c r="J15" s="184"/>
      <c r="K15" s="184"/>
      <c r="L15" s="184"/>
    </row>
    <row r="16" spans="2:16" s="28" customFormat="1" ht="17.25" customHeight="1" thickBot="1" x14ac:dyDescent="0.3">
      <c r="B16" s="2200" t="s">
        <v>1227</v>
      </c>
      <c r="C16" s="2201"/>
      <c r="D16" s="2201"/>
      <c r="E16" s="2201"/>
      <c r="F16" s="2201"/>
      <c r="G16" s="2201"/>
      <c r="H16" s="2201"/>
      <c r="I16" s="2201"/>
      <c r="J16" s="2201"/>
      <c r="K16" s="2201"/>
      <c r="L16" s="2201"/>
      <c r="M16" s="2201"/>
      <c r="N16" s="2201"/>
      <c r="O16" s="2201"/>
      <c r="P16" s="2206"/>
    </row>
    <row r="17" spans="2:16" s="28" customFormat="1" ht="15.75" customHeight="1" thickBot="1" x14ac:dyDescent="0.25">
      <c r="B17" s="2293" t="s">
        <v>973</v>
      </c>
      <c r="C17" s="2364"/>
      <c r="D17" s="2364"/>
      <c r="E17" s="2368"/>
      <c r="F17" s="2293" t="s">
        <v>100</v>
      </c>
      <c r="G17" s="2364"/>
      <c r="H17" s="2364"/>
      <c r="I17" s="2364"/>
      <c r="J17" s="2368"/>
      <c r="K17" s="2293" t="s">
        <v>102</v>
      </c>
      <c r="L17" s="2294"/>
      <c r="M17" s="2294"/>
      <c r="N17" s="2294"/>
      <c r="O17" s="2294"/>
      <c r="P17" s="2295"/>
    </row>
    <row r="18" spans="2:16" s="28" customFormat="1" ht="89.25" customHeight="1" thickBot="1" x14ac:dyDescent="0.25">
      <c r="B18" s="132" t="s">
        <v>52</v>
      </c>
      <c r="C18" s="134" t="s">
        <v>1224</v>
      </c>
      <c r="D18" s="134" t="s">
        <v>1226</v>
      </c>
      <c r="E18" s="135" t="s">
        <v>978</v>
      </c>
      <c r="F18" s="132" t="s">
        <v>1688</v>
      </c>
      <c r="G18" s="134" t="s">
        <v>979</v>
      </c>
      <c r="H18" s="331" t="s">
        <v>980</v>
      </c>
      <c r="I18" s="331" t="s">
        <v>981</v>
      </c>
      <c r="J18" s="331" t="s">
        <v>982</v>
      </c>
      <c r="K18" s="132" t="s">
        <v>1687</v>
      </c>
      <c r="L18" s="133" t="s">
        <v>223</v>
      </c>
      <c r="M18" s="134" t="s">
        <v>976</v>
      </c>
      <c r="N18" s="331" t="s">
        <v>983</v>
      </c>
      <c r="O18" s="331" t="s">
        <v>984</v>
      </c>
      <c r="P18" s="135" t="s">
        <v>985</v>
      </c>
    </row>
    <row r="19" spans="2:16" s="28" customFormat="1" x14ac:dyDescent="0.2">
      <c r="B19" s="1165" t="s">
        <v>1220</v>
      </c>
      <c r="C19" s="1337">
        <f>Inputs!F249</f>
        <v>4245716.4537748201</v>
      </c>
      <c r="D19" s="1166">
        <f>Inputs!C249</f>
        <v>0</v>
      </c>
      <c r="E19" s="1167">
        <f>D19/C19</f>
        <v>0</v>
      </c>
      <c r="F19" s="1328"/>
      <c r="G19" s="1329"/>
      <c r="H19" s="1330"/>
      <c r="I19" s="1330"/>
      <c r="J19" s="1330"/>
      <c r="K19" s="1341">
        <f>Inputs!E249</f>
        <v>57708.026145743301</v>
      </c>
      <c r="L19" s="1662">
        <f>K19*1000</f>
        <v>57708026.145743303</v>
      </c>
      <c r="M19" s="515">
        <f>L19*E19</f>
        <v>0</v>
      </c>
      <c r="N19" s="1072">
        <f>M19*'Emission Factors'!$G$43</f>
        <v>0</v>
      </c>
      <c r="O19" s="515">
        <f>M19*'Emission Factors'!$H$43</f>
        <v>0</v>
      </c>
      <c r="P19" s="1073">
        <f>M19*'Emission Factors'!$I$43</f>
        <v>0</v>
      </c>
    </row>
    <row r="20" spans="2:16" s="28" customFormat="1" x14ac:dyDescent="0.2">
      <c r="B20" s="582" t="s">
        <v>1221</v>
      </c>
      <c r="C20" s="1338">
        <f>Inputs!F250</f>
        <v>6624421.0730052097</v>
      </c>
      <c r="D20" s="1169">
        <f>Inputs!C250</f>
        <v>0</v>
      </c>
      <c r="E20" s="1170">
        <f t="shared" ref="E20:E23" si="2">D20/C20</f>
        <v>0</v>
      </c>
      <c r="F20" s="1331"/>
      <c r="G20" s="1332"/>
      <c r="H20" s="1333"/>
      <c r="I20" s="1333"/>
      <c r="J20" s="1333"/>
      <c r="K20" s="1342">
        <f>Inputs!E250</f>
        <v>90039.518334182401</v>
      </c>
      <c r="L20" s="1663">
        <f t="shared" ref="L20:L23" si="3">K20*1000</f>
        <v>90039518.334182397</v>
      </c>
      <c r="M20" s="1168">
        <f>L20*E20</f>
        <v>0</v>
      </c>
      <c r="N20" s="1171">
        <f>M20*'Emission Factors'!$G$43</f>
        <v>0</v>
      </c>
      <c r="O20" s="1168">
        <f>M20*'Emission Factors'!$H$43</f>
        <v>0</v>
      </c>
      <c r="P20" s="1172">
        <f>M20*'Emission Factors'!$I$43</f>
        <v>0</v>
      </c>
    </row>
    <row r="21" spans="2:16" s="28" customFormat="1" x14ac:dyDescent="0.2">
      <c r="B21" s="582" t="s">
        <v>272</v>
      </c>
      <c r="C21" s="1338">
        <f>Inputs!F251</f>
        <v>12918243.47322</v>
      </c>
      <c r="D21" s="1169">
        <f>Inputs!C251</f>
        <v>0</v>
      </c>
      <c r="E21" s="1170">
        <f t="shared" si="2"/>
        <v>0</v>
      </c>
      <c r="F21" s="1331"/>
      <c r="G21" s="1332"/>
      <c r="H21" s="1333"/>
      <c r="I21" s="1333"/>
      <c r="J21" s="1333"/>
      <c r="K21" s="1342">
        <f>Inputs!E251</f>
        <v>175585.520188672</v>
      </c>
      <c r="L21" s="1663">
        <f t="shared" si="3"/>
        <v>175585520.18867201</v>
      </c>
      <c r="M21" s="1168">
        <f>L21*E21</f>
        <v>0</v>
      </c>
      <c r="N21" s="1171">
        <f>M21*'Emission Factors'!$G$43</f>
        <v>0</v>
      </c>
      <c r="O21" s="1168">
        <f>M21*'Emission Factors'!$H$43</f>
        <v>0</v>
      </c>
      <c r="P21" s="1172">
        <f>M21*'Emission Factors'!$I$43</f>
        <v>0</v>
      </c>
    </row>
    <row r="22" spans="2:16" s="28" customFormat="1" x14ac:dyDescent="0.2">
      <c r="B22" s="582" t="s">
        <v>1222</v>
      </c>
      <c r="C22" s="1338">
        <f>Inputs!F252</f>
        <v>5543667.6776665403</v>
      </c>
      <c r="D22" s="1169">
        <f>Inputs!C252</f>
        <v>0</v>
      </c>
      <c r="E22" s="1170">
        <f t="shared" si="2"/>
        <v>0</v>
      </c>
      <c r="F22" s="1331"/>
      <c r="G22" s="1332"/>
      <c r="H22" s="1333"/>
      <c r="I22" s="1333"/>
      <c r="J22" s="1333"/>
      <c r="K22" s="1342">
        <f>Inputs!E252</f>
        <v>75349.855028981096</v>
      </c>
      <c r="L22" s="1663">
        <f t="shared" si="3"/>
        <v>75349855.02898109</v>
      </c>
      <c r="M22" s="1168">
        <f>L22*E22</f>
        <v>0</v>
      </c>
      <c r="N22" s="1171">
        <f>M22*'Emission Factors'!$G$43</f>
        <v>0</v>
      </c>
      <c r="O22" s="1168">
        <f>M22*'Emission Factors'!$H$43</f>
        <v>0</v>
      </c>
      <c r="P22" s="1172">
        <f>M22*'Emission Factors'!$I$43</f>
        <v>0</v>
      </c>
    </row>
    <row r="23" spans="2:16" s="28" customFormat="1" x14ac:dyDescent="0.2">
      <c r="B23" s="1656" t="s">
        <v>1529</v>
      </c>
      <c r="C23" s="1657">
        <f>Inputs!F253</f>
        <v>492074</v>
      </c>
      <c r="D23" s="1658">
        <f>Inputs!C253</f>
        <v>0</v>
      </c>
      <c r="E23" s="1170">
        <f t="shared" si="2"/>
        <v>0</v>
      </c>
      <c r="F23" s="1659"/>
      <c r="G23" s="1660"/>
      <c r="H23" s="1661"/>
      <c r="I23" s="1661"/>
      <c r="J23" s="1661"/>
      <c r="K23" s="1342">
        <f>Inputs!E253</f>
        <v>6688</v>
      </c>
      <c r="L23" s="1663">
        <f t="shared" si="3"/>
        <v>6688000</v>
      </c>
      <c r="M23" s="1168">
        <f>L23*E23</f>
        <v>0</v>
      </c>
      <c r="N23" s="1171">
        <f>M23*'Emission Factors'!$G$43</f>
        <v>0</v>
      </c>
      <c r="O23" s="1168">
        <f>M23*'Emission Factors'!$H$43</f>
        <v>0</v>
      </c>
      <c r="P23" s="1172">
        <f>M23*'Emission Factors'!$I$43</f>
        <v>0</v>
      </c>
    </row>
    <row r="24" spans="2:16" s="28" customFormat="1" ht="13.5" thickBot="1" x14ac:dyDescent="0.25">
      <c r="B24" s="1163" t="s">
        <v>1223</v>
      </c>
      <c r="C24" s="1339">
        <f>Inputs!F254</f>
        <v>24503024</v>
      </c>
      <c r="D24" s="1164">
        <f>Inputs!C254</f>
        <v>0</v>
      </c>
      <c r="E24" s="391">
        <f>D24/C24</f>
        <v>0</v>
      </c>
      <c r="F24" s="1340">
        <f>Inputs!D254</f>
        <v>24503024</v>
      </c>
      <c r="G24" s="514">
        <f>F24*E24</f>
        <v>0</v>
      </c>
      <c r="H24" s="1071">
        <f>$G$24*'Emission Factors'!D130</f>
        <v>0</v>
      </c>
      <c r="I24" s="1070">
        <f>$G$24*'Emission Factors'!E130</f>
        <v>0</v>
      </c>
      <c r="J24" s="1071">
        <f>$G$24*'Emission Factors'!F130</f>
        <v>0</v>
      </c>
      <c r="K24" s="1334"/>
      <c r="L24" s="1685"/>
      <c r="M24" s="1335"/>
      <c r="N24" s="1335"/>
      <c r="O24" s="1335"/>
      <c r="P24" s="1336"/>
    </row>
    <row r="25" spans="2:16" s="28" customFormat="1" ht="13.5" thickBot="1" x14ac:dyDescent="0.25">
      <c r="B25" s="2372" t="s">
        <v>228</v>
      </c>
      <c r="C25" s="2373"/>
      <c r="D25" s="2373"/>
      <c r="E25" s="2374"/>
      <c r="F25" s="212">
        <f>SUM(F19:F24)</f>
        <v>24503024</v>
      </c>
      <c r="G25" s="213">
        <f t="shared" ref="G25:J25" si="4">SUM(G19:G24)</f>
        <v>0</v>
      </c>
      <c r="H25" s="393">
        <f t="shared" si="4"/>
        <v>0</v>
      </c>
      <c r="I25" s="213">
        <f t="shared" si="4"/>
        <v>0</v>
      </c>
      <c r="J25" s="393">
        <f t="shared" si="4"/>
        <v>0</v>
      </c>
      <c r="K25" s="212">
        <f>SUM(K19:K24)</f>
        <v>405370.91969757882</v>
      </c>
      <c r="L25" s="1686">
        <f>SUM(L19:L24)</f>
        <v>405370919.69757879</v>
      </c>
      <c r="M25" s="213">
        <f>SUM(M19:M24)</f>
        <v>0</v>
      </c>
      <c r="N25" s="349">
        <f>SUM(N19:N22)</f>
        <v>0</v>
      </c>
      <c r="O25" s="348">
        <f>SUM(O19:O22)</f>
        <v>0</v>
      </c>
      <c r="P25" s="350">
        <f>SUM(P19:P22)</f>
        <v>0</v>
      </c>
    </row>
    <row r="26" spans="2:16" s="28" customFormat="1" ht="33" customHeight="1" thickBot="1" x14ac:dyDescent="0.25">
      <c r="B26" s="2365" t="s">
        <v>1225</v>
      </c>
      <c r="C26" s="2366"/>
      <c r="D26" s="2366"/>
      <c r="E26" s="2367"/>
      <c r="J26" s="54"/>
      <c r="K26" s="54"/>
      <c r="L26" s="54"/>
      <c r="M26" s="54"/>
      <c r="N26" s="54"/>
    </row>
    <row r="27" spans="2:16" s="28" customFormat="1" ht="13.5" thickBot="1" x14ac:dyDescent="0.25">
      <c r="J27" s="54"/>
      <c r="K27" s="54"/>
      <c r="L27" s="54"/>
      <c r="M27" s="54"/>
      <c r="N27" s="54"/>
    </row>
    <row r="28" spans="2:16" s="28" customFormat="1" ht="16.5" customHeight="1" thickBot="1" x14ac:dyDescent="0.25">
      <c r="B28" s="2012" t="s">
        <v>1149</v>
      </c>
      <c r="C28" s="2013"/>
      <c r="D28" s="2013"/>
      <c r="E28" s="2013"/>
      <c r="F28" s="1965"/>
      <c r="G28" s="1965"/>
      <c r="H28" s="1966"/>
      <c r="I28" s="54"/>
      <c r="J28" s="54"/>
      <c r="K28" s="54"/>
      <c r="L28" s="54"/>
    </row>
    <row r="29" spans="2:16" s="28" customFormat="1" ht="38.25" x14ac:dyDescent="0.2">
      <c r="B29" s="1174" t="s">
        <v>201</v>
      </c>
      <c r="C29" s="1175" t="s">
        <v>55</v>
      </c>
      <c r="D29" s="1175" t="s">
        <v>243</v>
      </c>
      <c r="E29" s="1175" t="s">
        <v>56</v>
      </c>
      <c r="F29" s="1175" t="s">
        <v>141</v>
      </c>
      <c r="G29" s="1175" t="s">
        <v>289</v>
      </c>
      <c r="H29" s="1176" t="s">
        <v>291</v>
      </c>
      <c r="I29" s="54"/>
      <c r="J29" s="54"/>
      <c r="K29" s="54"/>
      <c r="L29" s="54"/>
      <c r="M29" s="54"/>
      <c r="N29" s="54"/>
      <c r="O29" s="54"/>
      <c r="P29" s="54"/>
    </row>
    <row r="30" spans="2:16" s="28" customFormat="1" x14ac:dyDescent="0.2">
      <c r="B30" s="1173" t="s">
        <v>1220</v>
      </c>
      <c r="C30" s="206">
        <f>M19</f>
        <v>0</v>
      </c>
      <c r="D30" s="219">
        <f>'Stationary Energy - Buildings'!$F$211</f>
        <v>5.1268439097118021E-2</v>
      </c>
      <c r="E30" s="497">
        <f t="shared" ref="E30:E33" si="5">D30*C30</f>
        <v>0</v>
      </c>
      <c r="F30" s="496">
        <f>E30*'Emission Factors'!$G$43</f>
        <v>0</v>
      </c>
      <c r="G30" s="497">
        <f>E30*'Emission Factors'!$H$43</f>
        <v>0</v>
      </c>
      <c r="H30" s="921">
        <f>E30*'Emission Factors'!$I$43</f>
        <v>0</v>
      </c>
      <c r="I30" s="54"/>
      <c r="J30" s="54"/>
      <c r="K30" s="54"/>
      <c r="L30" s="54"/>
      <c r="M30" s="54"/>
      <c r="N30" s="54"/>
      <c r="O30" s="54"/>
      <c r="P30" s="54"/>
    </row>
    <row r="31" spans="2:16" s="28" customFormat="1" x14ac:dyDescent="0.2">
      <c r="B31" s="1278" t="s">
        <v>1221</v>
      </c>
      <c r="C31" s="208">
        <f>M20</f>
        <v>0</v>
      </c>
      <c r="D31" s="220">
        <f>'Stationary Energy - Buildings'!$F$211</f>
        <v>5.1268439097118021E-2</v>
      </c>
      <c r="E31" s="404">
        <f t="shared" si="5"/>
        <v>0</v>
      </c>
      <c r="F31" s="401">
        <f>E31*'Emission Factors'!$G$43</f>
        <v>0</v>
      </c>
      <c r="G31" s="404">
        <f>E31*'Emission Factors'!$H$43</f>
        <v>0</v>
      </c>
      <c r="H31" s="922">
        <f>E31*'Emission Factors'!$I$43</f>
        <v>0</v>
      </c>
      <c r="I31" s="54"/>
      <c r="J31" s="54"/>
      <c r="K31" s="54"/>
      <c r="L31" s="54"/>
      <c r="M31" s="54"/>
      <c r="N31" s="54"/>
      <c r="O31" s="54"/>
      <c r="P31" s="54"/>
    </row>
    <row r="32" spans="2:16" s="28" customFormat="1" x14ac:dyDescent="0.2">
      <c r="B32" s="1278" t="s">
        <v>272</v>
      </c>
      <c r="C32" s="208">
        <f>M21</f>
        <v>0</v>
      </c>
      <c r="D32" s="220">
        <f>'Stationary Energy - Buildings'!$F$211</f>
        <v>5.1268439097118021E-2</v>
      </c>
      <c r="E32" s="404">
        <f t="shared" si="5"/>
        <v>0</v>
      </c>
      <c r="F32" s="401">
        <f>E32*'Emission Factors'!$G$43</f>
        <v>0</v>
      </c>
      <c r="G32" s="404">
        <f>E32*'Emission Factors'!$H$43</f>
        <v>0</v>
      </c>
      <c r="H32" s="922">
        <f>E32*'Emission Factors'!$I$43</f>
        <v>0</v>
      </c>
      <c r="I32" s="54"/>
      <c r="J32" s="54"/>
      <c r="K32" s="54"/>
      <c r="L32" s="54"/>
      <c r="M32" s="54"/>
      <c r="N32" s="54"/>
      <c r="O32" s="54"/>
      <c r="P32" s="54"/>
    </row>
    <row r="33" spans="2:16" s="28" customFormat="1" ht="13.5" thickBot="1" x14ac:dyDescent="0.25">
      <c r="B33" s="1226" t="s">
        <v>1222</v>
      </c>
      <c r="C33" s="1279">
        <f>M22</f>
        <v>0</v>
      </c>
      <c r="D33" s="1280">
        <f>'Stationary Energy - Buildings'!$F$211</f>
        <v>5.1268439097118021E-2</v>
      </c>
      <c r="E33" s="377">
        <f t="shared" si="5"/>
        <v>0</v>
      </c>
      <c r="F33" s="1067">
        <f>E33*'Emission Factors'!$G$43</f>
        <v>0</v>
      </c>
      <c r="G33" s="377">
        <f>E33*'Emission Factors'!$H$43</f>
        <v>0</v>
      </c>
      <c r="H33" s="1281">
        <f>E33*'Emission Factors'!$I$43</f>
        <v>0</v>
      </c>
      <c r="I33" s="54"/>
      <c r="J33" s="54"/>
      <c r="K33" s="54"/>
      <c r="L33" s="54"/>
      <c r="M33" s="54"/>
      <c r="N33" s="54"/>
      <c r="O33" s="54"/>
      <c r="P33" s="54"/>
    </row>
    <row r="34" spans="2:16" s="28" customFormat="1" ht="13.5" thickBot="1" x14ac:dyDescent="0.25">
      <c r="B34" s="223" t="s">
        <v>220</v>
      </c>
      <c r="C34" s="523">
        <f>SUM(C30:C33)</f>
        <v>0</v>
      </c>
      <c r="D34" s="1275">
        <f>'Stationary Energy - Buildings'!F211</f>
        <v>5.1268439097118021E-2</v>
      </c>
      <c r="E34" s="1276">
        <f t="shared" ref="E34:H34" si="6">SUM(E30:E33)</f>
        <v>0</v>
      </c>
      <c r="F34" s="1276">
        <f>SUM(F30:F33)</f>
        <v>0</v>
      </c>
      <c r="G34" s="1276">
        <f t="shared" si="6"/>
        <v>0</v>
      </c>
      <c r="H34" s="1277">
        <f t="shared" si="6"/>
        <v>0</v>
      </c>
      <c r="I34" s="54"/>
      <c r="J34" s="54"/>
      <c r="K34" s="54"/>
      <c r="L34" s="54"/>
      <c r="M34" s="54"/>
      <c r="N34" s="54"/>
      <c r="O34" s="54"/>
      <c r="P34" s="54"/>
    </row>
    <row r="35" spans="2:16" s="28" customFormat="1" ht="54" customHeight="1" thickBot="1" x14ac:dyDescent="0.25">
      <c r="B35" s="2330" t="s">
        <v>1186</v>
      </c>
      <c r="C35" s="2259"/>
      <c r="D35" s="2259"/>
      <c r="E35" s="2331"/>
      <c r="F35" s="641" t="s">
        <v>531</v>
      </c>
      <c r="H35" s="54"/>
      <c r="I35" s="54"/>
      <c r="J35" s="54"/>
      <c r="K35" s="54"/>
      <c r="L35" s="54"/>
      <c r="M35" s="54"/>
      <c r="N35" s="54"/>
      <c r="O35" s="54"/>
    </row>
    <row r="36" spans="2:16" s="28" customFormat="1" x14ac:dyDescent="0.2">
      <c r="B36" s="54"/>
      <c r="C36" s="54"/>
      <c r="D36" s="54"/>
      <c r="E36" s="54"/>
      <c r="F36" s="54"/>
      <c r="G36" s="54"/>
      <c r="H36" s="54"/>
      <c r="I36" s="54"/>
      <c r="J36" s="54"/>
      <c r="K36" s="54"/>
      <c r="L36" s="54"/>
    </row>
    <row r="37" spans="2:16" s="28" customFormat="1" x14ac:dyDescent="0.2">
      <c r="B37" s="54"/>
      <c r="C37" s="54"/>
      <c r="D37" s="54"/>
      <c r="E37" s="54"/>
      <c r="F37" s="54"/>
      <c r="G37" s="54"/>
      <c r="H37" s="54"/>
      <c r="I37" s="54"/>
      <c r="J37" s="54"/>
      <c r="K37" s="54"/>
      <c r="L37" s="54"/>
    </row>
    <row r="38" spans="2:16" s="28" customFormat="1" x14ac:dyDescent="0.2">
      <c r="B38" s="54"/>
      <c r="C38" s="54"/>
      <c r="D38" s="54"/>
      <c r="E38" s="54"/>
      <c r="F38" s="54"/>
      <c r="G38" s="54"/>
      <c r="H38" s="54"/>
      <c r="I38" s="54"/>
      <c r="J38" s="54"/>
      <c r="K38" s="54"/>
      <c r="L38" s="54"/>
    </row>
    <row r="39" spans="2:16" s="28" customFormat="1" x14ac:dyDescent="0.2">
      <c r="B39" s="54"/>
      <c r="C39" s="54"/>
      <c r="D39" s="54"/>
      <c r="E39" s="54"/>
      <c r="F39" s="54"/>
      <c r="G39" s="54"/>
      <c r="H39" s="54"/>
      <c r="I39" s="54"/>
      <c r="J39" s="54"/>
      <c r="K39" s="54"/>
      <c r="L39" s="54"/>
      <c r="M39" s="54"/>
    </row>
    <row r="40" spans="2:16" s="28" customFormat="1" x14ac:dyDescent="0.2">
      <c r="B40" s="54"/>
      <c r="C40" s="54"/>
      <c r="D40" s="54"/>
      <c r="E40" s="54"/>
      <c r="F40" s="54"/>
      <c r="G40" s="54"/>
      <c r="H40" s="54"/>
      <c r="I40" s="54"/>
      <c r="J40" s="54"/>
      <c r="K40" s="54"/>
      <c r="L40" s="54"/>
      <c r="M40" s="54"/>
    </row>
    <row r="41" spans="2:16" s="28" customFormat="1" x14ac:dyDescent="0.2">
      <c r="B41" s="54"/>
      <c r="C41" s="54"/>
      <c r="D41" s="54"/>
      <c r="E41" s="54"/>
      <c r="F41" s="54"/>
      <c r="G41" s="54"/>
      <c r="H41" s="54"/>
      <c r="I41" s="54"/>
      <c r="J41" s="54"/>
      <c r="K41" s="54"/>
      <c r="L41" s="54"/>
      <c r="M41" s="54"/>
    </row>
    <row r="42" spans="2:16" s="28" customFormat="1" x14ac:dyDescent="0.2">
      <c r="B42" s="54"/>
      <c r="C42" s="54"/>
      <c r="D42" s="54"/>
      <c r="E42" s="54"/>
      <c r="F42" s="54"/>
      <c r="G42" s="54"/>
      <c r="H42" s="54"/>
      <c r="I42" s="54"/>
      <c r="J42" s="54"/>
      <c r="K42" s="54"/>
      <c r="L42" s="54"/>
      <c r="M42" s="54"/>
    </row>
    <row r="43" spans="2:16" s="28" customFormat="1" x14ac:dyDescent="0.2">
      <c r="B43" s="54"/>
      <c r="C43" s="54"/>
      <c r="D43" s="54"/>
      <c r="E43" s="54"/>
      <c r="F43" s="54"/>
      <c r="G43" s="54"/>
      <c r="H43" s="54"/>
      <c r="I43" s="54"/>
      <c r="J43" s="54"/>
      <c r="K43" s="54"/>
      <c r="L43" s="54"/>
      <c r="M43" s="54"/>
    </row>
    <row r="44" spans="2:16" s="28" customFormat="1" x14ac:dyDescent="0.2">
      <c r="B44" s="54"/>
      <c r="C44" s="54"/>
      <c r="D44" s="54"/>
      <c r="E44" s="54"/>
      <c r="F44" s="54"/>
      <c r="G44" s="54"/>
      <c r="H44" s="54"/>
      <c r="I44" s="54"/>
      <c r="J44" s="54"/>
      <c r="K44" s="54"/>
      <c r="L44" s="54"/>
      <c r="M44" s="54"/>
    </row>
    <row r="45" spans="2:16" s="28" customFormat="1" x14ac:dyDescent="0.2">
      <c r="B45" s="54"/>
      <c r="C45" s="54"/>
      <c r="D45" s="54"/>
      <c r="E45" s="54"/>
      <c r="F45" s="54"/>
      <c r="G45" s="54"/>
      <c r="H45" s="54"/>
      <c r="I45" s="54"/>
      <c r="J45" s="54"/>
      <c r="K45" s="54"/>
      <c r="L45" s="54"/>
      <c r="M45" s="54"/>
    </row>
    <row r="46" spans="2:16" s="28" customFormat="1" x14ac:dyDescent="0.2">
      <c r="B46" s="54"/>
      <c r="C46" s="54"/>
      <c r="D46" s="54"/>
      <c r="E46" s="54"/>
      <c r="F46" s="54"/>
      <c r="G46" s="54"/>
      <c r="H46" s="54"/>
      <c r="I46" s="54"/>
      <c r="J46" s="54"/>
      <c r="K46" s="54"/>
      <c r="L46" s="54"/>
      <c r="M46" s="54"/>
    </row>
    <row r="47" spans="2:16" s="28" customFormat="1" x14ac:dyDescent="0.2">
      <c r="B47" s="54"/>
      <c r="C47" s="54"/>
      <c r="D47" s="54"/>
      <c r="E47" s="54"/>
      <c r="F47" s="54"/>
      <c r="G47" s="54"/>
      <c r="H47" s="54"/>
      <c r="I47" s="54"/>
      <c r="J47" s="54"/>
      <c r="K47" s="54"/>
      <c r="L47" s="54"/>
      <c r="M47" s="54"/>
    </row>
    <row r="48" spans="2:16" s="28" customFormat="1" x14ac:dyDescent="0.2">
      <c r="B48" s="54"/>
      <c r="C48" s="54"/>
      <c r="D48" s="54"/>
      <c r="E48" s="54"/>
      <c r="F48" s="54"/>
      <c r="G48" s="54"/>
      <c r="H48" s="54"/>
      <c r="I48" s="54"/>
      <c r="J48" s="54"/>
      <c r="K48" s="54"/>
      <c r="L48" s="54"/>
      <c r="M48" s="54"/>
    </row>
    <row r="49" spans="2:13" s="28" customFormat="1" x14ac:dyDescent="0.2">
      <c r="B49" s="54"/>
      <c r="C49" s="54"/>
      <c r="D49" s="54"/>
      <c r="E49" s="54"/>
      <c r="F49" s="54"/>
      <c r="G49" s="54"/>
      <c r="H49" s="54"/>
      <c r="I49" s="54"/>
      <c r="J49" s="54"/>
      <c r="K49" s="54"/>
      <c r="L49" s="54"/>
      <c r="M49" s="54"/>
    </row>
    <row r="50" spans="2:13" s="28" customFormat="1" x14ac:dyDescent="0.2">
      <c r="B50" s="54"/>
      <c r="C50" s="54"/>
      <c r="D50" s="54"/>
      <c r="E50" s="54"/>
      <c r="F50" s="54"/>
      <c r="G50" s="54"/>
      <c r="H50" s="54"/>
      <c r="I50" s="54"/>
      <c r="J50" s="54"/>
      <c r="K50" s="54"/>
      <c r="L50" s="54"/>
      <c r="M50" s="54"/>
    </row>
    <row r="51" spans="2:13" s="28" customFormat="1" x14ac:dyDescent="0.2"/>
    <row r="52" spans="2:13" s="28" customFormat="1" x14ac:dyDescent="0.2"/>
    <row r="53" spans="2:13" s="28" customFormat="1" x14ac:dyDescent="0.2"/>
    <row r="54" spans="2:13" s="28" customFormat="1" x14ac:dyDescent="0.2"/>
    <row r="55" spans="2:13" s="28" customFormat="1" x14ac:dyDescent="0.2"/>
    <row r="56" spans="2:13" s="28" customFormat="1" x14ac:dyDescent="0.2"/>
    <row r="57" spans="2:13" s="28" customFormat="1" x14ac:dyDescent="0.2"/>
    <row r="58" spans="2:13" s="28" customFormat="1" x14ac:dyDescent="0.2"/>
    <row r="59" spans="2:13" s="28" customFormat="1" x14ac:dyDescent="0.2"/>
    <row r="60" spans="2:13" s="28" customFormat="1" x14ac:dyDescent="0.2"/>
    <row r="61" spans="2:13" s="28" customFormat="1" x14ac:dyDescent="0.2"/>
    <row r="62" spans="2:13" s="28" customFormat="1" x14ac:dyDescent="0.2"/>
    <row r="63" spans="2:13" s="28" customFormat="1" x14ac:dyDescent="0.2"/>
    <row r="64" spans="2:13" s="28" customFormat="1" x14ac:dyDescent="0.2"/>
    <row r="65" s="28" customFormat="1" x14ac:dyDescent="0.2"/>
    <row r="66" s="28" customFormat="1" x14ac:dyDescent="0.2"/>
    <row r="67" s="28" customFormat="1" x14ac:dyDescent="0.2"/>
    <row r="68" s="28" customFormat="1" x14ac:dyDescent="0.2"/>
    <row r="69" s="28" customFormat="1" x14ac:dyDescent="0.2"/>
    <row r="70" s="28" customFormat="1" x14ac:dyDescent="0.2"/>
    <row r="71" s="28" customFormat="1" x14ac:dyDescent="0.2"/>
    <row r="72" s="28" customFormat="1" x14ac:dyDescent="0.2"/>
    <row r="73" s="28" customFormat="1" x14ac:dyDescent="0.2"/>
    <row r="74" s="28" customFormat="1" x14ac:dyDescent="0.2"/>
    <row r="75" s="28" customFormat="1" x14ac:dyDescent="0.2"/>
    <row r="76" s="28" customFormat="1" x14ac:dyDescent="0.2"/>
    <row r="77" s="28" customFormat="1" x14ac:dyDescent="0.2"/>
    <row r="78" s="28" customFormat="1" x14ac:dyDescent="0.2"/>
    <row r="79" s="28" customFormat="1" x14ac:dyDescent="0.2"/>
    <row r="80" s="28" customFormat="1" x14ac:dyDescent="0.2"/>
    <row r="81" s="28" customFormat="1" x14ac:dyDescent="0.2"/>
    <row r="82" s="28" customFormat="1" x14ac:dyDescent="0.2"/>
    <row r="83" s="28" customFormat="1" x14ac:dyDescent="0.2"/>
    <row r="84" s="28" customFormat="1" x14ac:dyDescent="0.2"/>
    <row r="85" s="28" customFormat="1" x14ac:dyDescent="0.2"/>
    <row r="86" s="28" customFormat="1" x14ac:dyDescent="0.2"/>
    <row r="87" s="28" customFormat="1" x14ac:dyDescent="0.2"/>
    <row r="88" s="28" customFormat="1" x14ac:dyDescent="0.2"/>
    <row r="89" s="28" customFormat="1" x14ac:dyDescent="0.2"/>
    <row r="90" s="28" customFormat="1" x14ac:dyDescent="0.2"/>
    <row r="91" s="28" customFormat="1" x14ac:dyDescent="0.2"/>
    <row r="92" s="28" customFormat="1" x14ac:dyDescent="0.2"/>
    <row r="93" s="28" customFormat="1" x14ac:dyDescent="0.2"/>
    <row r="94" s="28" customFormat="1" x14ac:dyDescent="0.2"/>
    <row r="95" s="28" customFormat="1" x14ac:dyDescent="0.2"/>
    <row r="96" s="28" customFormat="1" x14ac:dyDescent="0.2"/>
    <row r="97" s="28" customFormat="1" x14ac:dyDescent="0.2"/>
    <row r="98" s="28" customFormat="1" x14ac:dyDescent="0.2"/>
    <row r="99" s="28" customFormat="1" x14ac:dyDescent="0.2"/>
    <row r="100" s="28" customFormat="1" x14ac:dyDescent="0.2"/>
    <row r="101" s="28" customFormat="1" x14ac:dyDescent="0.2"/>
    <row r="102" s="28" customFormat="1" x14ac:dyDescent="0.2"/>
    <row r="103" s="28" customFormat="1" x14ac:dyDescent="0.2"/>
    <row r="104" s="28" customFormat="1" x14ac:dyDescent="0.2"/>
    <row r="105" s="28" customFormat="1" x14ac:dyDescent="0.2"/>
    <row r="106" s="28" customFormat="1" x14ac:dyDescent="0.2"/>
    <row r="107" s="28" customFormat="1" x14ac:dyDescent="0.2"/>
    <row r="108" s="28" customFormat="1" x14ac:dyDescent="0.2"/>
    <row r="109" s="28" customFormat="1" x14ac:dyDescent="0.2"/>
    <row r="110" s="28" customFormat="1" x14ac:dyDescent="0.2"/>
    <row r="111" s="28" customFormat="1" x14ac:dyDescent="0.2"/>
    <row r="112" s="28" customFormat="1" x14ac:dyDescent="0.2"/>
    <row r="113" s="28" customFormat="1" x14ac:dyDescent="0.2"/>
    <row r="114" s="28" customFormat="1" x14ac:dyDescent="0.2"/>
    <row r="115" s="28" customFormat="1" x14ac:dyDescent="0.2"/>
    <row r="116" s="28" customFormat="1" x14ac:dyDescent="0.2"/>
    <row r="117" s="28" customFormat="1" x14ac:dyDescent="0.2"/>
    <row r="118" s="28" customFormat="1" x14ac:dyDescent="0.2"/>
    <row r="119" s="28" customFormat="1" x14ac:dyDescent="0.2"/>
    <row r="120" s="28" customFormat="1" x14ac:dyDescent="0.2"/>
    <row r="121" s="28" customFormat="1" x14ac:dyDescent="0.2"/>
    <row r="122" s="28" customFormat="1" x14ac:dyDescent="0.2"/>
    <row r="123" s="28" customFormat="1" x14ac:dyDescent="0.2"/>
    <row r="124" s="28" customFormat="1" x14ac:dyDescent="0.2"/>
    <row r="125" s="28" customFormat="1" x14ac:dyDescent="0.2"/>
    <row r="126" s="28" customFormat="1" x14ac:dyDescent="0.2"/>
    <row r="127" s="28" customFormat="1" x14ac:dyDescent="0.2"/>
    <row r="128" s="28" customFormat="1" x14ac:dyDescent="0.2"/>
    <row r="129" s="28" customFormat="1" x14ac:dyDescent="0.2"/>
    <row r="130" s="28" customFormat="1" x14ac:dyDescent="0.2"/>
    <row r="131" s="28" customFormat="1" x14ac:dyDescent="0.2"/>
    <row r="132" s="28" customFormat="1" x14ac:dyDescent="0.2"/>
    <row r="133" s="28" customFormat="1" x14ac:dyDescent="0.2"/>
    <row r="134" s="28" customFormat="1" x14ac:dyDescent="0.2"/>
    <row r="135" s="28" customFormat="1" x14ac:dyDescent="0.2"/>
    <row r="136" s="28" customFormat="1" x14ac:dyDescent="0.2"/>
    <row r="137" s="28" customFormat="1" x14ac:dyDescent="0.2"/>
    <row r="138" s="28" customFormat="1" x14ac:dyDescent="0.2"/>
    <row r="139" s="28" customFormat="1" x14ac:dyDescent="0.2"/>
    <row r="140" s="28" customFormat="1" x14ac:dyDescent="0.2"/>
    <row r="141" s="28" customFormat="1" x14ac:dyDescent="0.2"/>
    <row r="142" s="28" customFormat="1" x14ac:dyDescent="0.2"/>
    <row r="143" s="28" customFormat="1" x14ac:dyDescent="0.2"/>
    <row r="144" s="28" customFormat="1" x14ac:dyDescent="0.2"/>
    <row r="145" s="28" customFormat="1" x14ac:dyDescent="0.2"/>
    <row r="146" s="28" customFormat="1" x14ac:dyDescent="0.2"/>
    <row r="147" s="28" customFormat="1" x14ac:dyDescent="0.2"/>
    <row r="148" s="28" customFormat="1" x14ac:dyDescent="0.2"/>
    <row r="149" s="28" customFormat="1" x14ac:dyDescent="0.2"/>
    <row r="150" s="28" customFormat="1" x14ac:dyDescent="0.2"/>
    <row r="151" s="28" customFormat="1" x14ac:dyDescent="0.2"/>
    <row r="152" s="28" customFormat="1" x14ac:dyDescent="0.2"/>
    <row r="153" s="28" customFormat="1" x14ac:dyDescent="0.2"/>
    <row r="154" s="28" customFormat="1" x14ac:dyDescent="0.2"/>
    <row r="155" s="28" customFormat="1" x14ac:dyDescent="0.2"/>
    <row r="156" s="28" customFormat="1" x14ac:dyDescent="0.2"/>
    <row r="157" s="28" customFormat="1" x14ac:dyDescent="0.2"/>
    <row r="158" s="28" customFormat="1" x14ac:dyDescent="0.2"/>
    <row r="159" s="28" customFormat="1" x14ac:dyDescent="0.2"/>
    <row r="160" s="28" customFormat="1" x14ac:dyDescent="0.2"/>
    <row r="161" s="28" customFormat="1" x14ac:dyDescent="0.2"/>
    <row r="162" s="28" customFormat="1" x14ac:dyDescent="0.2"/>
    <row r="163" s="28" customFormat="1" x14ac:dyDescent="0.2"/>
    <row r="164" s="28" customFormat="1" x14ac:dyDescent="0.2"/>
    <row r="165" s="28" customFormat="1" x14ac:dyDescent="0.2"/>
    <row r="166" s="28" customFormat="1" x14ac:dyDescent="0.2"/>
    <row r="167" s="28" customFormat="1" x14ac:dyDescent="0.2"/>
    <row r="168" s="28" customFormat="1" x14ac:dyDescent="0.2"/>
    <row r="169" s="28" customFormat="1" x14ac:dyDescent="0.2"/>
    <row r="170" s="28" customFormat="1" x14ac:dyDescent="0.2"/>
    <row r="171" s="28" customFormat="1" x14ac:dyDescent="0.2"/>
    <row r="172" s="28" customFormat="1" x14ac:dyDescent="0.2"/>
    <row r="173" s="28" customFormat="1" x14ac:dyDescent="0.2"/>
    <row r="174" s="28" customFormat="1" x14ac:dyDescent="0.2"/>
    <row r="175" s="28" customFormat="1" x14ac:dyDescent="0.2"/>
    <row r="176" s="28" customFormat="1" x14ac:dyDescent="0.2"/>
    <row r="177" s="28" customFormat="1" x14ac:dyDescent="0.2"/>
    <row r="178" s="28" customFormat="1" x14ac:dyDescent="0.2"/>
    <row r="179" s="28" customFormat="1" x14ac:dyDescent="0.2"/>
    <row r="180" s="28" customFormat="1" x14ac:dyDescent="0.2"/>
    <row r="181" s="28" customFormat="1" x14ac:dyDescent="0.2"/>
    <row r="182" s="28" customFormat="1" x14ac:dyDescent="0.2"/>
    <row r="183" s="28" customFormat="1" x14ac:dyDescent="0.2"/>
    <row r="184" s="28" customFormat="1" x14ac:dyDescent="0.2"/>
    <row r="185" s="28" customFormat="1" x14ac:dyDescent="0.2"/>
    <row r="186" s="28" customFormat="1" x14ac:dyDescent="0.2"/>
    <row r="187" s="28" customFormat="1" x14ac:dyDescent="0.2"/>
    <row r="188" s="28" customFormat="1" x14ac:dyDescent="0.2"/>
    <row r="189" s="28" customFormat="1" x14ac:dyDescent="0.2"/>
    <row r="190" s="28" customFormat="1" x14ac:dyDescent="0.2"/>
    <row r="191" s="28" customFormat="1" x14ac:dyDescent="0.2"/>
    <row r="192" s="28" customFormat="1" x14ac:dyDescent="0.2"/>
    <row r="193" s="28" customFormat="1" x14ac:dyDescent="0.2"/>
    <row r="194" s="28" customFormat="1" x14ac:dyDescent="0.2"/>
    <row r="195" s="28" customFormat="1" x14ac:dyDescent="0.2"/>
    <row r="196" s="28" customFormat="1" x14ac:dyDescent="0.2"/>
    <row r="197" s="28" customFormat="1" x14ac:dyDescent="0.2"/>
    <row r="198" s="28" customFormat="1" x14ac:dyDescent="0.2"/>
    <row r="199" s="28" customFormat="1" x14ac:dyDescent="0.2"/>
    <row r="200" s="28" customFormat="1" x14ac:dyDescent="0.2"/>
    <row r="201" s="28" customFormat="1" x14ac:dyDescent="0.2"/>
    <row r="202" s="28" customFormat="1" x14ac:dyDescent="0.2"/>
    <row r="203" s="28" customFormat="1" x14ac:dyDescent="0.2"/>
  </sheetData>
  <mergeCells count="15">
    <mergeCell ref="B14:D14"/>
    <mergeCell ref="B25:E25"/>
    <mergeCell ref="B9:G9"/>
    <mergeCell ref="K17:P17"/>
    <mergeCell ref="B16:P16"/>
    <mergeCell ref="B26:E26"/>
    <mergeCell ref="B17:E17"/>
    <mergeCell ref="B35:E35"/>
    <mergeCell ref="B28:H28"/>
    <mergeCell ref="F17:J17"/>
    <mergeCell ref="B6:G6"/>
    <mergeCell ref="B7:G7"/>
    <mergeCell ref="C3:E3"/>
    <mergeCell ref="C4:E4"/>
    <mergeCell ref="B2:E2"/>
  </mergeCells>
  <hyperlinks>
    <hyperlink ref="F35" r:id="rId1" xr:uid="{00000000-0004-0000-0E00-000000000000}"/>
  </hyperlinks>
  <pageMargins left="0.75" right="0.75" top="1" bottom="1" header="0.5" footer="0.5"/>
  <pageSetup orientation="portrait" r:id="rId2"/>
  <headerFooter alignWithMargins="0"/>
  <ignoredErrors>
    <ignoredError sqref="D34" formula="1"/>
  </ignoredError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tint="-0.499984740745262"/>
  </sheetPr>
  <dimension ref="A1:K17"/>
  <sheetViews>
    <sheetView showGridLines="0" zoomScaleNormal="100" workbookViewId="0">
      <selection activeCell="D33" sqref="D33"/>
    </sheetView>
  </sheetViews>
  <sheetFormatPr defaultRowHeight="12.75" x14ac:dyDescent="0.2"/>
  <cols>
    <col min="1" max="1" width="2.85546875" style="28" customWidth="1"/>
    <col min="2" max="2" width="38.28515625" style="28" customWidth="1"/>
    <col min="3" max="8" width="18.140625" style="28" customWidth="1"/>
    <col min="9" max="9" width="14.42578125" style="28" customWidth="1"/>
    <col min="10" max="10" width="18.85546875" style="28" customWidth="1"/>
    <col min="11" max="11" width="16.28515625" style="28" customWidth="1"/>
    <col min="12" max="12" width="10.28515625" style="28" bestFit="1" customWidth="1"/>
    <col min="13" max="13" width="16.5703125" style="28" bestFit="1" customWidth="1"/>
    <col min="14" max="14" width="12.28515625" style="28" bestFit="1" customWidth="1"/>
    <col min="15" max="16384" width="9.140625" style="28"/>
  </cols>
  <sheetData>
    <row r="1" spans="1:11" ht="13.5" thickBot="1" x14ac:dyDescent="0.25">
      <c r="B1" s="2283"/>
      <c r="C1" s="2283"/>
      <c r="D1" s="2283"/>
      <c r="E1" s="2283"/>
      <c r="F1" s="2283"/>
      <c r="G1" s="2283"/>
      <c r="H1" s="2283"/>
      <c r="I1" s="2283"/>
      <c r="J1" s="2283"/>
    </row>
    <row r="2" spans="1:11" ht="21" customHeight="1" thickBot="1" x14ac:dyDescent="0.25">
      <c r="B2" s="2284" t="s">
        <v>1447</v>
      </c>
      <c r="C2" s="2364"/>
      <c r="D2" s="2364"/>
      <c r="E2" s="1966"/>
      <c r="G2" s="302"/>
      <c r="H2" s="112"/>
      <c r="I2" s="112"/>
      <c r="J2" s="112"/>
    </row>
    <row r="3" spans="1:11" x14ac:dyDescent="0.2">
      <c r="B3" s="224" t="s">
        <v>247</v>
      </c>
      <c r="C3" s="2230" t="s">
        <v>17</v>
      </c>
      <c r="D3" s="2267"/>
      <c r="E3" s="2268"/>
      <c r="F3" s="112"/>
      <c r="G3" s="112"/>
      <c r="H3" s="112"/>
      <c r="I3" s="112"/>
      <c r="J3" s="112"/>
    </row>
    <row r="4" spans="1:11" ht="13.5" thickBot="1" x14ac:dyDescent="0.25">
      <c r="B4" s="225" t="s">
        <v>251</v>
      </c>
      <c r="C4" s="2269" t="s">
        <v>252</v>
      </c>
      <c r="D4" s="2113"/>
      <c r="E4" s="2270"/>
      <c r="F4" s="214"/>
      <c r="G4" s="214"/>
      <c r="H4" s="214"/>
      <c r="I4" s="214"/>
      <c r="J4" s="214"/>
    </row>
    <row r="5" spans="1:11" ht="13.5" thickBot="1" x14ac:dyDescent="0.25">
      <c r="B5" s="214"/>
      <c r="C5" s="214"/>
      <c r="D5" s="214"/>
      <c r="E5" s="214"/>
      <c r="F5" s="214"/>
      <c r="G5" s="214"/>
      <c r="H5" s="214"/>
      <c r="I5" s="214"/>
      <c r="J5" s="214"/>
    </row>
    <row r="6" spans="1:11" ht="15.75" thickBot="1" x14ac:dyDescent="0.25">
      <c r="B6" s="1968" t="s">
        <v>91</v>
      </c>
      <c r="C6" s="1974"/>
      <c r="D6" s="1974"/>
      <c r="E6" s="1974"/>
      <c r="F6" s="1959"/>
      <c r="G6" s="112"/>
      <c r="H6" s="112"/>
      <c r="I6" s="112"/>
      <c r="J6" s="112"/>
    </row>
    <row r="7" spans="1:11" ht="66" customHeight="1" thickBot="1" x14ac:dyDescent="0.25">
      <c r="B7" s="2093" t="s">
        <v>1391</v>
      </c>
      <c r="C7" s="2094"/>
      <c r="D7" s="2094"/>
      <c r="E7" s="2094"/>
      <c r="F7" s="2260"/>
      <c r="G7" s="913"/>
      <c r="H7" s="913"/>
      <c r="I7" s="913"/>
      <c r="J7" s="913"/>
    </row>
    <row r="8" spans="1:11" ht="13.5" thickBot="1" x14ac:dyDescent="0.25">
      <c r="B8" s="112"/>
      <c r="C8" s="112"/>
      <c r="D8" s="112"/>
      <c r="E8" s="112"/>
      <c r="F8" s="112"/>
      <c r="G8" s="112"/>
      <c r="H8" s="112"/>
      <c r="I8" s="112"/>
      <c r="J8" s="112"/>
    </row>
    <row r="9" spans="1:11" ht="18" customHeight="1" thickBot="1" x14ac:dyDescent="0.25">
      <c r="B9" s="1968" t="s">
        <v>307</v>
      </c>
      <c r="C9" s="2217"/>
      <c r="D9" s="2217"/>
      <c r="E9" s="2217"/>
      <c r="F9" s="2217"/>
      <c r="G9" s="2217"/>
      <c r="H9" s="2217"/>
      <c r="I9" s="1959"/>
    </row>
    <row r="10" spans="1:11" ht="63" customHeight="1" x14ac:dyDescent="0.2">
      <c r="B10" s="151" t="s">
        <v>85</v>
      </c>
      <c r="C10" s="144" t="s">
        <v>1204</v>
      </c>
      <c r="D10" s="144" t="s">
        <v>63</v>
      </c>
      <c r="E10" s="101" t="s">
        <v>1075</v>
      </c>
      <c r="F10" s="216" t="s">
        <v>1076</v>
      </c>
      <c r="G10" s="101" t="s">
        <v>363</v>
      </c>
      <c r="H10" s="101" t="s">
        <v>364</v>
      </c>
      <c r="I10" s="640" t="s">
        <v>365</v>
      </c>
      <c r="J10" s="362"/>
      <c r="K10" s="362"/>
    </row>
    <row r="11" spans="1:11" x14ac:dyDescent="0.2">
      <c r="A11" s="54"/>
      <c r="B11" s="461" t="s">
        <v>13</v>
      </c>
      <c r="C11" s="460">
        <f>'Waste-Solid Waste Disposal'!C39</f>
        <v>0</v>
      </c>
      <c r="D11" s="729"/>
      <c r="E11" s="440"/>
      <c r="F11" s="438"/>
      <c r="G11" s="460">
        <f>'Waste-Solid Waste Disposal'!G12</f>
        <v>0</v>
      </c>
      <c r="H11" s="439"/>
      <c r="I11" s="459"/>
      <c r="J11" s="362"/>
      <c r="K11" s="362"/>
    </row>
    <row r="12" spans="1:11" x14ac:dyDescent="0.2">
      <c r="A12" s="54"/>
      <c r="B12" s="727" t="s">
        <v>1071</v>
      </c>
      <c r="C12" s="729"/>
      <c r="D12" s="729"/>
      <c r="E12" s="733">
        <f>'Waste-Biological Treatment'!B11*'Waste-Biological Treatment'!C11</f>
        <v>0</v>
      </c>
      <c r="F12" s="734">
        <f>'Waste-Biological Treatment'!B11*'Waste-Biological Treatment'!D11</f>
        <v>0</v>
      </c>
      <c r="G12" s="728">
        <f>'Waste-Biological Treatment'!H18</f>
        <v>0</v>
      </c>
      <c r="H12" s="731"/>
      <c r="I12" s="1123">
        <f>'Waste-Biological Treatment'!I18</f>
        <v>0</v>
      </c>
      <c r="J12" s="636"/>
      <c r="K12" s="636"/>
    </row>
    <row r="13" spans="1:11" x14ac:dyDescent="0.2">
      <c r="A13" s="54"/>
      <c r="B13" s="458" t="s">
        <v>215</v>
      </c>
      <c r="C13" s="444"/>
      <c r="D13" s="457">
        <f>'Waste-Incineration'!D22</f>
        <v>0</v>
      </c>
      <c r="E13" s="729"/>
      <c r="F13" s="730"/>
      <c r="G13" s="526">
        <f>'Waste-Incineration'!B11</f>
        <v>0</v>
      </c>
      <c r="H13" s="457">
        <f>'Waste-Incineration'!C11</f>
        <v>0</v>
      </c>
      <c r="I13" s="443">
        <f>'Waste-Incineration'!D11</f>
        <v>0</v>
      </c>
      <c r="J13" s="362"/>
      <c r="K13" s="362"/>
    </row>
    <row r="14" spans="1:11" ht="15.75" x14ac:dyDescent="0.2">
      <c r="A14" s="54"/>
      <c r="B14" s="456" t="s">
        <v>308</v>
      </c>
      <c r="C14" s="455"/>
      <c r="D14" s="455"/>
      <c r="E14" s="455"/>
      <c r="F14" s="732"/>
      <c r="G14" s="1122">
        <f>'Waste-Wastewater'!C13</f>
        <v>0</v>
      </c>
      <c r="H14" s="454"/>
      <c r="I14" s="453">
        <f>'Waste-Wastewater'!D13</f>
        <v>0</v>
      </c>
      <c r="J14" s="362"/>
      <c r="K14" s="362"/>
    </row>
    <row r="15" spans="1:11" ht="13.5" thickBot="1" x14ac:dyDescent="0.25">
      <c r="B15" s="2375" t="s">
        <v>372</v>
      </c>
      <c r="C15" s="2376"/>
      <c r="D15" s="2376"/>
      <c r="E15" s="2376"/>
      <c r="F15" s="2377"/>
      <c r="G15" s="445">
        <f>SUM(G11:G14)</f>
        <v>0</v>
      </c>
      <c r="H15" s="445">
        <f>SUM(H11:H14)</f>
        <v>0</v>
      </c>
      <c r="I15" s="447">
        <f>SUM(I11:I14)</f>
        <v>0</v>
      </c>
      <c r="J15" s="362"/>
      <c r="K15" s="362"/>
    </row>
    <row r="16" spans="1:11" x14ac:dyDescent="0.2">
      <c r="B16" s="913"/>
      <c r="C16" s="362"/>
      <c r="D16" s="362"/>
      <c r="E16" s="362"/>
      <c r="F16" s="362"/>
      <c r="G16" s="362"/>
      <c r="H16" s="362"/>
      <c r="I16" s="362"/>
    </row>
    <row r="17" spans="2:9" x14ac:dyDescent="0.2">
      <c r="B17" s="362"/>
      <c r="C17" s="362"/>
      <c r="D17" s="362"/>
      <c r="E17" s="362"/>
      <c r="F17" s="362"/>
      <c r="G17" s="362"/>
      <c r="H17" s="362"/>
      <c r="I17" s="362"/>
    </row>
  </sheetData>
  <mergeCells count="8">
    <mergeCell ref="B7:F7"/>
    <mergeCell ref="B15:F15"/>
    <mergeCell ref="B9:I9"/>
    <mergeCell ref="B1:J1"/>
    <mergeCell ref="C3:E3"/>
    <mergeCell ref="C4:E4"/>
    <mergeCell ref="B2:E2"/>
    <mergeCell ref="B6:F6"/>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249977111117893"/>
  </sheetPr>
  <dimension ref="A1:BE456"/>
  <sheetViews>
    <sheetView showGridLines="0" topLeftCell="A16" zoomScaleNormal="100" workbookViewId="0">
      <selection activeCell="C19" sqref="C19"/>
    </sheetView>
  </sheetViews>
  <sheetFormatPr defaultRowHeight="12.75" x14ac:dyDescent="0.2"/>
  <cols>
    <col min="1" max="1" width="2.7109375" style="3" customWidth="1"/>
    <col min="2" max="2" width="66.7109375" style="3" customWidth="1"/>
    <col min="3" max="3" width="27" style="3" customWidth="1"/>
    <col min="4" max="4" width="29.140625" style="3" customWidth="1"/>
    <col min="5" max="6" width="19.28515625" style="3" customWidth="1"/>
    <col min="7" max="7" width="14.28515625" style="3" customWidth="1"/>
    <col min="8" max="8" width="19.5703125" style="3" customWidth="1"/>
    <col min="9" max="9" width="26.5703125" style="3" customWidth="1"/>
    <col min="10" max="10" width="18.85546875" style="3" customWidth="1"/>
    <col min="11" max="11" width="15.85546875" style="3" customWidth="1"/>
    <col min="12" max="12" width="14" style="3" customWidth="1"/>
    <col min="13" max="13" width="12" style="3" customWidth="1"/>
    <col min="14" max="14" width="17.7109375" style="3" customWidth="1"/>
    <col min="15" max="15" width="19.28515625" style="3" customWidth="1"/>
    <col min="16" max="16" width="16.85546875" style="3" customWidth="1"/>
    <col min="17" max="17" width="18.5703125" style="3" customWidth="1"/>
    <col min="18" max="18" width="16.5703125" style="3" customWidth="1"/>
    <col min="19" max="19" width="22.7109375" style="3" customWidth="1"/>
    <col min="20" max="26" width="9.140625" style="3" customWidth="1"/>
    <col min="27" max="27" width="20.5703125" style="3" customWidth="1"/>
    <col min="28" max="28" width="9.140625" style="3" customWidth="1"/>
    <col min="29" max="29" width="45.5703125" style="3" customWidth="1"/>
    <col min="30" max="30" width="16.28515625" style="3" customWidth="1"/>
    <col min="31" max="31" width="6.5703125" style="3" customWidth="1"/>
    <col min="32" max="33" width="9.140625" style="3" customWidth="1"/>
    <col min="34" max="34" width="16.28515625" style="3" customWidth="1"/>
    <col min="35" max="35" width="16.5703125" style="3" customWidth="1"/>
    <col min="36" max="37" width="9.140625" style="3" customWidth="1"/>
    <col min="38" max="38" width="14.42578125" style="3" customWidth="1"/>
    <col min="39" max="39" width="9.140625" style="3" customWidth="1"/>
    <col min="40" max="40" width="22.5703125" style="3" customWidth="1"/>
    <col min="41" max="41" width="9.140625" style="3" customWidth="1"/>
    <col min="42" max="52" width="13.42578125" style="3" customWidth="1"/>
    <col min="53" max="16384" width="9.140625" style="3"/>
  </cols>
  <sheetData>
    <row r="1" spans="1:57" s="38" customFormat="1" ht="15" thickBot="1" x14ac:dyDescent="0.25">
      <c r="A1" s="57"/>
      <c r="B1" s="30"/>
      <c r="C1" s="30"/>
      <c r="D1" s="30"/>
      <c r="E1" s="30"/>
      <c r="F1" s="30"/>
      <c r="G1" s="30"/>
      <c r="H1" s="30"/>
      <c r="I1" s="30"/>
      <c r="J1" s="30"/>
    </row>
    <row r="2" spans="1:57" s="57" customFormat="1" ht="19.5" customHeight="1" thickBot="1" x14ac:dyDescent="0.25">
      <c r="B2" s="2284" t="s">
        <v>1448</v>
      </c>
      <c r="C2" s="2364"/>
      <c r="D2" s="2364"/>
      <c r="E2" s="1966"/>
      <c r="F2" s="18"/>
      <c r="G2" s="18"/>
      <c r="H2" s="18"/>
      <c r="I2" s="18"/>
      <c r="J2" s="18"/>
      <c r="K2" s="18"/>
    </row>
    <row r="3" spans="1:57" s="57" customFormat="1" ht="16.5" customHeight="1" x14ac:dyDescent="0.2">
      <c r="B3" s="224" t="s">
        <v>247</v>
      </c>
      <c r="C3" s="2230" t="s">
        <v>17</v>
      </c>
      <c r="D3" s="2267"/>
      <c r="E3" s="2268"/>
      <c r="F3" s="18"/>
      <c r="G3" s="18"/>
      <c r="H3" s="18"/>
      <c r="I3" s="18"/>
      <c r="J3" s="18"/>
      <c r="K3" s="18"/>
    </row>
    <row r="4" spans="1:57" s="117" customFormat="1" ht="15" customHeight="1" thickBot="1" x14ac:dyDescent="0.25">
      <c r="B4" s="225" t="s">
        <v>250</v>
      </c>
      <c r="C4" s="2269" t="s">
        <v>214</v>
      </c>
      <c r="D4" s="2113"/>
      <c r="E4" s="2270"/>
      <c r="F4" s="18"/>
      <c r="G4" s="18"/>
      <c r="H4" s="18"/>
      <c r="I4" s="18"/>
      <c r="J4" s="18"/>
      <c r="K4" s="18"/>
    </row>
    <row r="5" spans="1:57" s="117" customFormat="1" ht="15" customHeight="1" thickBot="1" x14ac:dyDescent="0.25">
      <c r="B5" s="214"/>
      <c r="C5" s="214"/>
      <c r="D5" s="214"/>
      <c r="E5" s="214"/>
      <c r="F5" s="18"/>
      <c r="G5" s="18"/>
      <c r="H5" s="18"/>
      <c r="I5" s="18"/>
      <c r="J5" s="18"/>
      <c r="K5" s="18"/>
    </row>
    <row r="6" spans="1:57" s="57" customFormat="1" ht="15" customHeight="1" thickBot="1" x14ac:dyDescent="0.25">
      <c r="B6" s="1968" t="s">
        <v>91</v>
      </c>
      <c r="C6" s="1974"/>
      <c r="D6" s="1974"/>
      <c r="E6" s="1975"/>
      <c r="F6" s="18"/>
      <c r="G6" s="18"/>
      <c r="H6" s="18"/>
      <c r="I6" s="18"/>
      <c r="J6" s="18"/>
      <c r="K6" s="18"/>
    </row>
    <row r="7" spans="1:57" s="117" customFormat="1" ht="55.5" customHeight="1" thickBot="1" x14ac:dyDescent="0.25">
      <c r="B7" s="2093" t="s">
        <v>1392</v>
      </c>
      <c r="C7" s="2094"/>
      <c r="D7" s="2094"/>
      <c r="E7" s="2095"/>
      <c r="F7" s="18"/>
      <c r="G7" s="18"/>
      <c r="H7" s="18"/>
      <c r="I7" s="18"/>
      <c r="J7" s="18"/>
      <c r="K7" s="18"/>
    </row>
    <row r="8" spans="1:57" ht="13.5" thickBot="1" x14ac:dyDescent="0.25">
      <c r="A8" s="115"/>
      <c r="B8" s="115"/>
      <c r="C8" s="115"/>
      <c r="D8" s="115"/>
      <c r="E8" s="115"/>
      <c r="F8" s="115"/>
      <c r="G8" s="115"/>
      <c r="H8" s="115"/>
      <c r="I8" s="2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115"/>
      <c r="AU8" s="115"/>
      <c r="AV8" s="115"/>
      <c r="AW8" s="115"/>
      <c r="AX8" s="115"/>
      <c r="AY8" s="115"/>
      <c r="AZ8" s="115"/>
      <c r="BA8" s="115"/>
      <c r="BB8" s="115"/>
      <c r="BC8" s="115"/>
      <c r="BD8" s="115"/>
      <c r="BE8" s="115"/>
    </row>
    <row r="9" spans="1:57" ht="15.75" customHeight="1" thickBot="1" x14ac:dyDescent="0.3">
      <c r="A9" s="115"/>
      <c r="B9" s="2390" t="s">
        <v>143</v>
      </c>
      <c r="C9" s="1965"/>
      <c r="D9" s="1965"/>
      <c r="E9" s="1965"/>
      <c r="F9" s="1965"/>
      <c r="G9" s="1966"/>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5"/>
      <c r="AU9" s="115"/>
      <c r="AV9" s="115"/>
      <c r="AW9" s="115"/>
      <c r="AX9" s="115"/>
      <c r="AY9" s="115"/>
      <c r="AZ9" s="115"/>
      <c r="BA9" s="115"/>
      <c r="BB9" s="115"/>
      <c r="BC9" s="115"/>
    </row>
    <row r="10" spans="1:57" ht="48.75" customHeight="1" x14ac:dyDescent="0.2">
      <c r="A10" s="115"/>
      <c r="B10" s="489" t="s">
        <v>110</v>
      </c>
      <c r="C10" s="527" t="s">
        <v>124</v>
      </c>
      <c r="D10" s="355" t="s">
        <v>109</v>
      </c>
      <c r="E10" s="355" t="s">
        <v>126</v>
      </c>
      <c r="F10" s="131" t="s">
        <v>128</v>
      </c>
      <c r="G10" s="491" t="s">
        <v>363</v>
      </c>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5"/>
      <c r="AQ10" s="115"/>
      <c r="AR10" s="115"/>
      <c r="AS10" s="115"/>
      <c r="AT10" s="115"/>
      <c r="AU10" s="115"/>
      <c r="AV10" s="115"/>
      <c r="AW10" s="115"/>
      <c r="AX10" s="115"/>
      <c r="AY10" s="115"/>
      <c r="AZ10" s="115"/>
      <c r="BA10" s="115"/>
      <c r="BB10" s="115"/>
      <c r="BC10" s="115"/>
    </row>
    <row r="11" spans="1:57" ht="26.25" customHeight="1" x14ac:dyDescent="0.2">
      <c r="A11" s="115"/>
      <c r="B11" s="530" t="s">
        <v>111</v>
      </c>
      <c r="C11" s="528" t="s">
        <v>125</v>
      </c>
      <c r="D11" s="136" t="s">
        <v>38</v>
      </c>
      <c r="E11" s="136" t="s">
        <v>127</v>
      </c>
      <c r="F11" s="538" t="s">
        <v>129</v>
      </c>
      <c r="G11" s="1077"/>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5"/>
      <c r="AW11" s="115"/>
      <c r="AX11" s="115"/>
      <c r="AY11" s="115"/>
      <c r="AZ11" s="115"/>
      <c r="BA11" s="115"/>
      <c r="BB11" s="115"/>
      <c r="BC11" s="115"/>
    </row>
    <row r="12" spans="1:57" ht="13.5" thickBot="1" x14ac:dyDescent="0.25">
      <c r="A12" s="115"/>
      <c r="B12" s="138" t="s">
        <v>169</v>
      </c>
      <c r="C12" s="529">
        <f>D39</f>
        <v>0</v>
      </c>
      <c r="D12" s="394">
        <f>H45</f>
        <v>7.3359631916653054E-2</v>
      </c>
      <c r="E12" s="1368">
        <v>0</v>
      </c>
      <c r="F12" s="1369">
        <v>0.1</v>
      </c>
      <c r="G12" s="540">
        <f>C12*D12*(1-E12)*(1-F12)</f>
        <v>0</v>
      </c>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5"/>
      <c r="AW12" s="115"/>
      <c r="AX12" s="115"/>
      <c r="AY12" s="115"/>
      <c r="AZ12" s="115"/>
      <c r="BA12" s="115"/>
      <c r="BB12" s="115"/>
      <c r="BC12" s="115"/>
    </row>
    <row r="13" spans="1:57" ht="41.25" customHeight="1" thickBot="1" x14ac:dyDescent="0.25">
      <c r="A13" s="115"/>
      <c r="B13" s="2216" t="s">
        <v>1066</v>
      </c>
      <c r="C13" s="2217"/>
      <c r="D13" s="2217"/>
      <c r="E13" s="1959"/>
      <c r="F13" s="115"/>
      <c r="G13" s="115"/>
      <c r="H13" s="115"/>
      <c r="I13" s="2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row>
    <row r="14" spans="1:57" x14ac:dyDescent="0.2">
      <c r="A14" s="117"/>
      <c r="B14" s="117"/>
      <c r="C14" s="117"/>
      <c r="D14" s="117"/>
      <c r="E14" s="117"/>
      <c r="F14" s="117"/>
      <c r="G14" s="117"/>
      <c r="H14" s="117"/>
      <c r="I14" s="25"/>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row>
    <row r="15" spans="1:57" ht="273" customHeight="1" x14ac:dyDescent="0.2">
      <c r="A15" s="117"/>
      <c r="B15" s="117"/>
      <c r="C15" s="117"/>
      <c r="D15" s="117"/>
      <c r="E15" s="117"/>
      <c r="F15" s="117"/>
      <c r="G15" s="117"/>
      <c r="H15" s="117"/>
      <c r="I15" s="25"/>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c r="BA15" s="117"/>
      <c r="BB15" s="117"/>
      <c r="BC15" s="117"/>
      <c r="BD15" s="117"/>
      <c r="BE15" s="117"/>
    </row>
    <row r="16" spans="1:57" ht="13.5" thickBot="1" x14ac:dyDescent="0.25">
      <c r="A16" s="115"/>
      <c r="B16" s="115"/>
      <c r="C16" s="115"/>
      <c r="D16" s="115"/>
      <c r="E16" s="115"/>
      <c r="F16" s="115"/>
      <c r="G16" s="115"/>
      <c r="H16" s="115"/>
      <c r="I16" s="2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5"/>
      <c r="AR16" s="115"/>
      <c r="AS16" s="115"/>
      <c r="AT16" s="115"/>
      <c r="AU16" s="115"/>
      <c r="AV16" s="115"/>
      <c r="AW16" s="115"/>
      <c r="AX16" s="115"/>
      <c r="AY16" s="115"/>
      <c r="AZ16" s="115"/>
      <c r="BA16" s="115"/>
      <c r="BB16" s="115"/>
      <c r="BC16" s="115"/>
      <c r="BD16" s="115"/>
      <c r="BE16" s="115"/>
    </row>
    <row r="17" spans="1:10" s="49" customFormat="1" ht="17.25" customHeight="1" thickBot="1" x14ac:dyDescent="0.25">
      <c r="A17" s="57"/>
      <c r="B17" s="2012" t="s">
        <v>1150</v>
      </c>
      <c r="C17" s="2013"/>
      <c r="D17" s="2013"/>
      <c r="E17" s="2013"/>
      <c r="F17" s="2014"/>
      <c r="G17" s="709"/>
      <c r="H17" s="48"/>
      <c r="I17" s="48"/>
    </row>
    <row r="18" spans="1:10" s="115" customFormat="1" ht="66.75" customHeight="1" x14ac:dyDescent="0.2">
      <c r="B18" s="151" t="s">
        <v>142</v>
      </c>
      <c r="C18" s="638" t="s">
        <v>1110</v>
      </c>
      <c r="D18" s="638" t="s">
        <v>1111</v>
      </c>
      <c r="E18" s="638" t="s">
        <v>1187</v>
      </c>
      <c r="F18" s="639" t="s">
        <v>1188</v>
      </c>
      <c r="H18" s="56"/>
    </row>
    <row r="19" spans="1:10" s="49" customFormat="1" ht="15" customHeight="1" x14ac:dyDescent="0.2">
      <c r="A19" s="57"/>
      <c r="B19" s="1078" t="s">
        <v>1069</v>
      </c>
      <c r="C19" s="1079">
        <f>Inputs!C302</f>
        <v>0</v>
      </c>
      <c r="D19" s="1079">
        <f>Inputs!D302</f>
        <v>0</v>
      </c>
      <c r="E19" s="1080">
        <f>C19*'Emission Factors'!$D$144</f>
        <v>0</v>
      </c>
      <c r="F19" s="1081">
        <f>D19*'Emission Factors'!$D$144</f>
        <v>0</v>
      </c>
      <c r="H19" s="148"/>
    </row>
    <row r="20" spans="1:10" s="49" customFormat="1" ht="12.75" customHeight="1" x14ac:dyDescent="0.2">
      <c r="A20" s="57"/>
      <c r="B20" s="1082" t="s">
        <v>1070</v>
      </c>
      <c r="C20" s="1083">
        <f>Inputs!C303</f>
        <v>0</v>
      </c>
      <c r="D20" s="1083">
        <f>Inputs!D303</f>
        <v>0</v>
      </c>
      <c r="E20" s="1084">
        <f>C20*'Emission Factors'!$D$144</f>
        <v>0</v>
      </c>
      <c r="F20" s="1085">
        <f>D20*'Emission Factors'!$D$144</f>
        <v>0</v>
      </c>
      <c r="H20" s="48"/>
    </row>
    <row r="21" spans="1:10" s="49" customFormat="1" ht="15" customHeight="1" thickBot="1" x14ac:dyDescent="0.25">
      <c r="A21" s="57"/>
      <c r="B21" s="706" t="s">
        <v>986</v>
      </c>
      <c r="C21" s="707">
        <f>SUM(C19:C20)</f>
        <v>0</v>
      </c>
      <c r="D21" s="707">
        <f>SUM(D19:D20)</f>
        <v>0</v>
      </c>
      <c r="E21" s="707">
        <f>SUM(E19:E20)</f>
        <v>0</v>
      </c>
      <c r="F21" s="708">
        <f>SUM(F19:F20)</f>
        <v>0</v>
      </c>
      <c r="H21" s="48"/>
    </row>
    <row r="22" spans="1:10" s="49" customFormat="1" ht="15" customHeight="1" thickBot="1" x14ac:dyDescent="0.25">
      <c r="A22" s="57"/>
      <c r="C22" s="50"/>
      <c r="D22" s="48"/>
      <c r="E22" s="48"/>
      <c r="I22" s="48"/>
    </row>
    <row r="23" spans="1:10" s="117" customFormat="1" ht="18" customHeight="1" thickBot="1" x14ac:dyDescent="0.25">
      <c r="B23" s="2012" t="s">
        <v>1072</v>
      </c>
      <c r="C23" s="2191"/>
      <c r="D23" s="2191"/>
      <c r="E23" s="2192"/>
      <c r="F23" s="709"/>
      <c r="I23" s="56"/>
    </row>
    <row r="24" spans="1:10" s="117" customFormat="1" ht="38.25" x14ac:dyDescent="0.2">
      <c r="B24" s="151" t="s">
        <v>130</v>
      </c>
      <c r="C24" s="101" t="s">
        <v>139</v>
      </c>
      <c r="D24" s="101" t="s">
        <v>373</v>
      </c>
      <c r="E24" s="102" t="s">
        <v>1068</v>
      </c>
      <c r="I24" s="56"/>
    </row>
    <row r="25" spans="1:10" s="117" customFormat="1" ht="26.25" thickBot="1" x14ac:dyDescent="0.25">
      <c r="B25" s="149" t="s">
        <v>140</v>
      </c>
      <c r="C25" s="150" t="s">
        <v>1151</v>
      </c>
      <c r="D25" s="725">
        <f>SUM(D26:D28,D30:D31)</f>
        <v>4490000</v>
      </c>
      <c r="E25" s="535">
        <v>1</v>
      </c>
      <c r="I25" s="56"/>
    </row>
    <row r="26" spans="1:10" s="117" customFormat="1" ht="25.5" customHeight="1" x14ac:dyDescent="0.2">
      <c r="B26" s="2391" t="s">
        <v>11</v>
      </c>
      <c r="C26" s="531" t="s">
        <v>134</v>
      </c>
      <c r="D26" s="405">
        <f>'Adjust Inventory Year'!C113</f>
        <v>1140000</v>
      </c>
      <c r="E26" s="721"/>
      <c r="H26" s="26"/>
      <c r="I26" s="56"/>
    </row>
    <row r="27" spans="1:10" s="117" customFormat="1" ht="25.5" customHeight="1" x14ac:dyDescent="0.2">
      <c r="B27" s="2392"/>
      <c r="C27" s="532" t="s">
        <v>1189</v>
      </c>
      <c r="D27" s="404">
        <f>'Adjust Inventory Year'!C114</f>
        <v>70000</v>
      </c>
      <c r="E27" s="722"/>
      <c r="G27" s="26"/>
      <c r="H27" s="26"/>
      <c r="I27" s="56"/>
    </row>
    <row r="28" spans="1:10" s="117" customFormat="1" ht="25.5" customHeight="1" x14ac:dyDescent="0.2">
      <c r="B28" s="2392"/>
      <c r="C28" s="533" t="s">
        <v>135</v>
      </c>
      <c r="D28" s="404">
        <f>'Adjust Inventory Year'!C115</f>
        <v>110000</v>
      </c>
      <c r="E28" s="723"/>
      <c r="I28" s="56"/>
      <c r="J28" s="26"/>
    </row>
    <row r="29" spans="1:10" s="117" customFormat="1" ht="25.5" customHeight="1" thickBot="1" x14ac:dyDescent="0.25">
      <c r="B29" s="2393"/>
      <c r="C29" s="534" t="s">
        <v>136</v>
      </c>
      <c r="D29" s="172">
        <f>SUM(D26:D28)</f>
        <v>1320000</v>
      </c>
      <c r="E29" s="1074">
        <f>IF(Inputs!C271="No",D29/$D$25,Inputs!C276)</f>
        <v>0.29398663697104677</v>
      </c>
      <c r="F29" s="152"/>
      <c r="I29" s="56"/>
    </row>
    <row r="30" spans="1:10" s="117" customFormat="1" ht="25.5" customHeight="1" x14ac:dyDescent="0.2">
      <c r="B30" s="2394" t="s">
        <v>133</v>
      </c>
      <c r="C30" s="531" t="s">
        <v>134</v>
      </c>
      <c r="D30" s="405">
        <f>'Adjust Inventory Year'!C116</f>
        <v>3140000</v>
      </c>
      <c r="E30" s="721"/>
      <c r="F30" s="152"/>
      <c r="I30" s="56"/>
    </row>
    <row r="31" spans="1:10" s="117" customFormat="1" ht="25.5" customHeight="1" x14ac:dyDescent="0.2">
      <c r="B31" s="2392"/>
      <c r="C31" s="533" t="s">
        <v>137</v>
      </c>
      <c r="D31" s="431">
        <f>'Adjust Inventory Year'!C117</f>
        <v>30000</v>
      </c>
      <c r="E31" s="723"/>
      <c r="I31" s="56"/>
    </row>
    <row r="32" spans="1:10" s="117" customFormat="1" ht="25.5" customHeight="1" thickBot="1" x14ac:dyDescent="0.25">
      <c r="B32" s="2393"/>
      <c r="C32" s="534" t="s">
        <v>138</v>
      </c>
      <c r="D32" s="173">
        <f>SUM(D30:D31)</f>
        <v>3170000</v>
      </c>
      <c r="E32" s="1074">
        <f>IF(Inputs!C271="No",D32/$D$25,Inputs!C277)</f>
        <v>0.70601336302895323</v>
      </c>
      <c r="I32" s="56"/>
    </row>
    <row r="33" spans="1:40" s="117" customFormat="1" ht="45" customHeight="1" thickBot="1" x14ac:dyDescent="0.25">
      <c r="B33" s="2282" t="s">
        <v>1152</v>
      </c>
      <c r="C33" s="2389"/>
      <c r="D33" s="2389"/>
      <c r="E33" s="685" t="s">
        <v>987</v>
      </c>
      <c r="F33" s="536"/>
      <c r="G33" s="26"/>
      <c r="H33" s="152"/>
      <c r="I33" s="56"/>
    </row>
    <row r="34" spans="1:40" s="117" customFormat="1" ht="13.5" thickBot="1" x14ac:dyDescent="0.25">
      <c r="B34" s="153"/>
      <c r="C34" s="154"/>
      <c r="D34" s="317"/>
      <c r="E34" s="155"/>
      <c r="F34" s="152"/>
      <c r="G34" s="26"/>
      <c r="I34" s="56"/>
    </row>
    <row r="35" spans="1:40" ht="21" customHeight="1" thickBot="1" x14ac:dyDescent="0.25">
      <c r="B35" s="2381" t="s">
        <v>1073</v>
      </c>
      <c r="C35" s="2387"/>
      <c r="D35" s="2388"/>
      <c r="E35" s="709"/>
      <c r="G35" s="26"/>
      <c r="H35" s="39"/>
      <c r="I35" s="39"/>
      <c r="J35" s="117"/>
      <c r="K35" s="117"/>
      <c r="L35" s="117"/>
      <c r="M35" s="117"/>
      <c r="N35" s="117"/>
      <c r="O35" s="117"/>
      <c r="P35" s="117"/>
    </row>
    <row r="36" spans="1:40" ht="44.25" customHeight="1" thickBot="1" x14ac:dyDescent="0.25">
      <c r="B36" s="156" t="s">
        <v>142</v>
      </c>
      <c r="C36" s="157" t="s">
        <v>167</v>
      </c>
      <c r="D36" s="158" t="s">
        <v>168</v>
      </c>
      <c r="E36" s="20"/>
      <c r="F36" s="46"/>
      <c r="G36" s="26"/>
      <c r="H36" s="46"/>
      <c r="I36" s="46"/>
      <c r="J36" s="117"/>
      <c r="K36" s="117"/>
      <c r="L36" s="117"/>
      <c r="M36" s="117"/>
      <c r="N36" s="117"/>
      <c r="O36" s="117"/>
      <c r="P36" s="117"/>
    </row>
    <row r="37" spans="1:40" x14ac:dyDescent="0.2">
      <c r="B37" s="320" t="s">
        <v>1069</v>
      </c>
      <c r="C37" s="541">
        <f>C19*E29</f>
        <v>0</v>
      </c>
      <c r="D37" s="1075">
        <f>C37*'Emission Factors'!$D$144</f>
        <v>0</v>
      </c>
      <c r="E37" s="20"/>
      <c r="F37" s="46"/>
      <c r="G37" s="46"/>
      <c r="H37" s="46"/>
      <c r="I37" s="46"/>
      <c r="J37" s="117"/>
      <c r="K37" s="117"/>
      <c r="L37" s="117"/>
      <c r="M37" s="117"/>
      <c r="N37" s="117"/>
      <c r="O37" s="117"/>
      <c r="P37" s="117"/>
    </row>
    <row r="38" spans="1:40" x14ac:dyDescent="0.2">
      <c r="B38" s="321" t="s">
        <v>1070</v>
      </c>
      <c r="C38" s="542">
        <f>C20*E29</f>
        <v>0</v>
      </c>
      <c r="D38" s="1076">
        <f>C38*'Emission Factors'!$D$144</f>
        <v>0</v>
      </c>
      <c r="E38" s="20"/>
      <c r="F38" s="39"/>
      <c r="G38" s="39"/>
      <c r="H38" s="39"/>
      <c r="I38" s="39"/>
      <c r="J38" s="117"/>
      <c r="K38" s="117"/>
      <c r="L38" s="117"/>
      <c r="M38" s="117"/>
      <c r="N38" s="117"/>
      <c r="O38" s="117"/>
      <c r="P38" s="117"/>
    </row>
    <row r="39" spans="1:40" s="38" customFormat="1" ht="13.5" thickBot="1" x14ac:dyDescent="0.25">
      <c r="A39" s="57"/>
      <c r="B39" s="316" t="s">
        <v>113</v>
      </c>
      <c r="C39" s="318">
        <f>SUM(C37:C38)</f>
        <v>0</v>
      </c>
      <c r="D39" s="319">
        <f>SUM(D37:D38)</f>
        <v>0</v>
      </c>
      <c r="E39" s="315"/>
    </row>
    <row r="40" spans="1:40" s="117" customFormat="1" ht="28.5" customHeight="1" thickBot="1" x14ac:dyDescent="0.25">
      <c r="B40" s="2383" t="s">
        <v>1190</v>
      </c>
      <c r="C40" s="2384"/>
      <c r="D40" s="2385"/>
      <c r="E40" s="315"/>
    </row>
    <row r="41" spans="1:40" s="117" customFormat="1" ht="12.75" customHeight="1" thickBot="1" x14ac:dyDescent="0.25">
      <c r="B41" s="20"/>
      <c r="D41" s="24"/>
      <c r="E41" s="24"/>
      <c r="F41" s="25"/>
      <c r="G41" s="21"/>
      <c r="H41" s="22"/>
      <c r="I41" s="20"/>
    </row>
    <row r="42" spans="1:40" s="38" customFormat="1" ht="20.25" customHeight="1" thickBot="1" x14ac:dyDescent="0.25">
      <c r="A42" s="115"/>
      <c r="B42" s="2381" t="s">
        <v>1191</v>
      </c>
      <c r="C42" s="2013"/>
      <c r="D42" s="2013"/>
      <c r="E42" s="2013"/>
      <c r="F42" s="2013"/>
      <c r="G42" s="2013"/>
      <c r="H42" s="2014"/>
      <c r="I42" s="142"/>
      <c r="J42" s="143"/>
      <c r="K42" s="20"/>
    </row>
    <row r="43" spans="1:40" s="38" customFormat="1" ht="63.75" x14ac:dyDescent="0.2">
      <c r="A43" s="115"/>
      <c r="B43" s="84" t="s">
        <v>110</v>
      </c>
      <c r="C43" s="82" t="s">
        <v>106</v>
      </c>
      <c r="D43" s="82" t="s">
        <v>107</v>
      </c>
      <c r="E43" s="82" t="s">
        <v>1192</v>
      </c>
      <c r="F43" s="82" t="s">
        <v>108</v>
      </c>
      <c r="G43" s="131" t="s">
        <v>122</v>
      </c>
      <c r="H43" s="83" t="s">
        <v>109</v>
      </c>
      <c r="I43" s="142"/>
      <c r="J43" s="22"/>
      <c r="K43" s="20"/>
    </row>
    <row r="44" spans="1:40" s="115" customFormat="1" ht="29.25" customHeight="1" x14ac:dyDescent="0.2">
      <c r="B44" s="91" t="s">
        <v>111</v>
      </c>
      <c r="C44" s="136" t="s">
        <v>35</v>
      </c>
      <c r="D44" s="136" t="s">
        <v>20</v>
      </c>
      <c r="E44" s="136" t="s">
        <v>36</v>
      </c>
      <c r="F44" s="136" t="s">
        <v>37</v>
      </c>
      <c r="G44" s="147" t="s">
        <v>123</v>
      </c>
      <c r="H44" s="137" t="s">
        <v>38</v>
      </c>
      <c r="I44" s="21"/>
      <c r="J44" s="22"/>
      <c r="K44" s="20"/>
    </row>
    <row r="45" spans="1:40" s="38" customFormat="1" ht="13.5" thickBot="1" x14ac:dyDescent="0.25">
      <c r="A45" s="115"/>
      <c r="B45" s="138" t="s">
        <v>169</v>
      </c>
      <c r="C45" s="1370">
        <v>1</v>
      </c>
      <c r="D45" s="543">
        <f>(F51*G51)+(F52*G52)+(F53*G53)+(F54*G54)+(F55*G55)+(F56*G56)</f>
        <v>0.18339907979163264</v>
      </c>
      <c r="E45" s="1371">
        <v>0.6</v>
      </c>
      <c r="F45" s="1371">
        <v>0.5</v>
      </c>
      <c r="G45" s="1372">
        <f>16/12</f>
        <v>1.3333333333333333</v>
      </c>
      <c r="H45" s="544">
        <f>C45*D45*E45*F45*G45</f>
        <v>7.3359631916653054E-2</v>
      </c>
      <c r="I45" s="21"/>
      <c r="J45" s="22"/>
      <c r="K45" s="20"/>
    </row>
    <row r="46" spans="1:40" s="38" customFormat="1" ht="69.75" customHeight="1" thickBot="1" x14ac:dyDescent="0.25">
      <c r="A46" s="57"/>
      <c r="B46" s="2216" t="s">
        <v>387</v>
      </c>
      <c r="C46" s="2217"/>
      <c r="D46" s="2217"/>
      <c r="E46" s="1959"/>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row>
    <row r="47" spans="1:40" s="115" customFormat="1" x14ac:dyDescent="0.2">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row>
    <row r="48" spans="1:40" s="117" customFormat="1" ht="345" customHeight="1" thickBot="1" x14ac:dyDescent="0.25">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row>
    <row r="49" spans="2:42" s="117" customFormat="1" ht="21.75" customHeight="1" thickBot="1" x14ac:dyDescent="0.25">
      <c r="B49" s="2381" t="s">
        <v>1074</v>
      </c>
      <c r="C49" s="2382"/>
      <c r="D49" s="2382"/>
      <c r="E49" s="2382"/>
      <c r="F49" s="1965"/>
      <c r="G49" s="1966"/>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row>
    <row r="50" spans="2:42" s="117" customFormat="1" ht="89.25" x14ac:dyDescent="0.2">
      <c r="B50" s="139" t="s">
        <v>114</v>
      </c>
      <c r="C50" s="140" t="s">
        <v>120</v>
      </c>
      <c r="D50" s="140" t="s">
        <v>1193</v>
      </c>
      <c r="E50" s="140" t="s">
        <v>1194</v>
      </c>
      <c r="F50" s="741" t="s">
        <v>1195</v>
      </c>
      <c r="G50" s="141" t="s">
        <v>121</v>
      </c>
      <c r="H50" s="2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row>
    <row r="51" spans="2:42" s="117" customFormat="1" x14ac:dyDescent="0.2">
      <c r="B51" s="493" t="s">
        <v>267</v>
      </c>
      <c r="C51" s="644" t="s">
        <v>115</v>
      </c>
      <c r="D51" s="1088" t="str">
        <f>IF(Inputs!$C$287="Yes",Inputs!C292,"Default to State Data")</f>
        <v>Default to State Data</v>
      </c>
      <c r="E51" s="1086">
        <f>SUMIF($D$62:$D$131,"Food",$C$62:$C$131)</f>
        <v>0.26052530690061121</v>
      </c>
      <c r="F51" s="1088">
        <f>IF(Inputs!$C$287="Yes",D51,E51)</f>
        <v>0.26052530690061121</v>
      </c>
      <c r="G51" s="1373">
        <v>0.15</v>
      </c>
      <c r="H51" s="115"/>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row>
    <row r="52" spans="2:42" s="117" customFormat="1" x14ac:dyDescent="0.2">
      <c r="B52" s="493" t="s">
        <v>22</v>
      </c>
      <c r="C52" s="644" t="s">
        <v>116</v>
      </c>
      <c r="D52" s="1088" t="str">
        <f>IF(Inputs!$C$287="Yes",Inputs!C293,"Default to State Data")</f>
        <v>Default to State Data</v>
      </c>
      <c r="E52" s="1086">
        <f>SUMIF($D$62:$D$131,"Garden Waste and Plant Debris",$C$62:$C$131)</f>
        <v>5.2873551390378921E-2</v>
      </c>
      <c r="F52" s="1088">
        <f>IF(Inputs!$C$287="Yes",D52,E52)</f>
        <v>5.2873551390378921E-2</v>
      </c>
      <c r="G52" s="1373">
        <v>0.2</v>
      </c>
      <c r="H52" s="115"/>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row>
    <row r="53" spans="2:42" s="117" customFormat="1" x14ac:dyDescent="0.2">
      <c r="B53" s="493" t="s">
        <v>23</v>
      </c>
      <c r="C53" s="644" t="s">
        <v>117</v>
      </c>
      <c r="D53" s="1088" t="str">
        <f>IF(Inputs!$C$287="Yes",Inputs!C294,"Default to State Data")</f>
        <v>Default to State Data</v>
      </c>
      <c r="E53" s="1086">
        <f>SUMIF($D$62:$D$131,"Paper",$C$62:$C$131)</f>
        <v>0.21738806637036237</v>
      </c>
      <c r="F53" s="1088">
        <f>IF(Inputs!$C$287="Yes",D53,E53)</f>
        <v>0.21738806637036237</v>
      </c>
      <c r="G53" s="1373">
        <v>0.4</v>
      </c>
      <c r="H53" s="115"/>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row>
    <row r="54" spans="2:42" s="117" customFormat="1" x14ac:dyDescent="0.2">
      <c r="B54" s="493" t="s">
        <v>24</v>
      </c>
      <c r="C54" s="644" t="s">
        <v>118</v>
      </c>
      <c r="D54" s="1088" t="str">
        <f>IF(Inputs!$C$287="Yes",Inputs!C295,"Default to State Data")</f>
        <v>Default to State Data</v>
      </c>
      <c r="E54" s="1086">
        <f>SUMIF($D$62:$D$131,"Wood",$C$62:$C$131)</f>
        <v>7.6242799014414941E-2</v>
      </c>
      <c r="F54" s="1088">
        <f>IF(Inputs!$C$287="Yes",D54,E54)</f>
        <v>7.6242799014414941E-2</v>
      </c>
      <c r="G54" s="1373">
        <v>0.43</v>
      </c>
      <c r="H54" s="115"/>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row>
    <row r="55" spans="2:42" s="117" customFormat="1" x14ac:dyDescent="0.2">
      <c r="B55" s="493" t="s">
        <v>25</v>
      </c>
      <c r="C55" s="644" t="s">
        <v>119</v>
      </c>
      <c r="D55" s="1088" t="str">
        <f>IF(Inputs!$C$287="Yes",Inputs!C296,"Default to State Data")</f>
        <v>Default to State Data</v>
      </c>
      <c r="E55" s="1086">
        <f>SUMIF($D$62:$D$131,"Textiles",$C$62:$C$131)</f>
        <v>5.8358097308840798E-2</v>
      </c>
      <c r="F55" s="1088">
        <f>IF(Inputs!$C$287="Yes",D55,E55)</f>
        <v>5.8358097308840798E-2</v>
      </c>
      <c r="G55" s="1373">
        <v>0.24</v>
      </c>
      <c r="H55" s="115"/>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row>
    <row r="56" spans="2:42" s="117" customFormat="1" ht="13.5" thickBot="1" x14ac:dyDescent="0.25">
      <c r="B56" s="701" t="s">
        <v>26</v>
      </c>
      <c r="C56" s="698" t="s">
        <v>37</v>
      </c>
      <c r="D56" s="1089" t="str">
        <f>IF(Inputs!$C$287="Yes",Inputs!C297,"Default to State Data")</f>
        <v>Default to State Data</v>
      </c>
      <c r="E56" s="1087">
        <f>SUMIF($D$62:$D$131,"Industrial Waste",$C$62:$C$131)</f>
        <v>0</v>
      </c>
      <c r="F56" s="1088">
        <f>IF(Inputs!$C$287="Yes",D56,E56)</f>
        <v>0</v>
      </c>
      <c r="G56" s="1374">
        <v>0.15</v>
      </c>
      <c r="H56" s="115"/>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row>
    <row r="57" spans="2:42" s="117" customFormat="1" ht="34.5" customHeight="1" thickBot="1" x14ac:dyDescent="0.25">
      <c r="B57" s="2386" t="s">
        <v>1196</v>
      </c>
      <c r="C57" s="2217"/>
      <c r="D57" s="1959"/>
      <c r="F57" s="146"/>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row>
    <row r="58" spans="2:42" s="117" customFormat="1" ht="13.5" thickBot="1" x14ac:dyDescent="0.25">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row>
    <row r="59" spans="2:42" s="115" customFormat="1" ht="19.5" customHeight="1" thickBot="1" x14ac:dyDescent="0.25">
      <c r="B59" s="2379" t="s">
        <v>1056</v>
      </c>
      <c r="C59" s="2215"/>
      <c r="D59" s="2380"/>
      <c r="E59" s="709"/>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row>
    <row r="60" spans="2:42" s="115" customFormat="1" ht="24.75" customHeight="1" x14ac:dyDescent="0.2">
      <c r="B60" s="139" t="s">
        <v>1067</v>
      </c>
      <c r="C60" s="140" t="s">
        <v>990</v>
      </c>
      <c r="D60" s="141" t="s">
        <v>1055</v>
      </c>
      <c r="E60" s="711"/>
      <c r="H60" s="4"/>
      <c r="I60" s="4"/>
      <c r="J60" s="4"/>
      <c r="K60" s="4"/>
      <c r="L60" s="4"/>
      <c r="M60" s="4"/>
      <c r="N60" s="4"/>
      <c r="O60" s="4"/>
      <c r="P60" s="4"/>
      <c r="Q60" s="4"/>
      <c r="R60" s="4"/>
      <c r="S60" s="4"/>
      <c r="T60" s="4"/>
      <c r="U60" s="4"/>
      <c r="V60" s="4"/>
      <c r="W60" s="4"/>
      <c r="X60" s="4"/>
      <c r="Y60" s="4"/>
      <c r="Z60" s="4"/>
      <c r="AA60" s="4"/>
      <c r="AB60" s="4"/>
      <c r="AC60" s="4"/>
      <c r="AD60" s="4"/>
      <c r="AE60" s="4"/>
      <c r="AF60" s="4"/>
      <c r="AG60" s="4"/>
      <c r="AH60" s="4"/>
    </row>
    <row r="61" spans="2:42" s="115" customFormat="1" x14ac:dyDescent="0.2">
      <c r="B61" s="712" t="s">
        <v>23</v>
      </c>
      <c r="C61" s="1154"/>
      <c r="D61" s="1156"/>
      <c r="G61" s="4"/>
      <c r="H61" s="4"/>
      <c r="I61" s="710"/>
      <c r="J61" s="4"/>
      <c r="K61" s="4"/>
      <c r="L61" s="4"/>
      <c r="M61" s="4"/>
      <c r="N61" s="4"/>
      <c r="O61" s="4"/>
      <c r="P61" s="4"/>
      <c r="Q61" s="4"/>
      <c r="R61" s="4"/>
      <c r="S61" s="4"/>
      <c r="T61" s="4"/>
      <c r="U61" s="4"/>
      <c r="V61" s="4"/>
      <c r="W61" s="4"/>
      <c r="X61" s="4"/>
      <c r="Y61" s="4"/>
      <c r="Z61" s="4"/>
      <c r="AA61" s="4"/>
      <c r="AB61" s="4"/>
      <c r="AC61" s="4"/>
      <c r="AD61" s="4"/>
      <c r="AE61" s="4"/>
      <c r="AF61" s="4"/>
      <c r="AG61" s="4"/>
    </row>
    <row r="62" spans="2:42" s="115" customFormat="1" x14ac:dyDescent="0.2">
      <c r="B62" s="713" t="s">
        <v>991</v>
      </c>
      <c r="C62" s="1375">
        <v>9.2469983949716963E-2</v>
      </c>
      <c r="D62" s="714" t="s">
        <v>23</v>
      </c>
      <c r="F62" s="152"/>
      <c r="G62" s="4"/>
      <c r="H62" s="4"/>
      <c r="I62" s="4"/>
      <c r="J62" s="4"/>
      <c r="K62" s="4"/>
      <c r="L62" s="4"/>
      <c r="M62" s="4"/>
      <c r="N62" s="4"/>
      <c r="O62" s="4"/>
      <c r="P62" s="4"/>
      <c r="Q62" s="4"/>
      <c r="R62" s="4"/>
      <c r="S62" s="4"/>
      <c r="T62" s="4"/>
      <c r="U62" s="4"/>
      <c r="V62" s="4"/>
      <c r="W62" s="4"/>
      <c r="X62" s="4"/>
      <c r="Y62" s="4"/>
      <c r="Z62" s="4"/>
      <c r="AA62" s="4"/>
      <c r="AB62" s="4"/>
      <c r="AC62" s="4"/>
      <c r="AD62" s="4"/>
      <c r="AE62" s="4"/>
      <c r="AF62" s="4"/>
      <c r="AG62" s="4"/>
    </row>
    <row r="63" spans="2:42" s="115" customFormat="1" x14ac:dyDescent="0.2">
      <c r="B63" s="715" t="s">
        <v>992</v>
      </c>
      <c r="C63" s="1376">
        <v>2.7396467253548995E-3</v>
      </c>
      <c r="D63" s="716" t="s">
        <v>23</v>
      </c>
      <c r="G63" s="4"/>
      <c r="H63" s="4"/>
      <c r="I63" s="4"/>
      <c r="J63" s="4"/>
      <c r="K63" s="4"/>
      <c r="L63" s="4"/>
      <c r="M63" s="4"/>
      <c r="N63" s="4"/>
      <c r="O63" s="4"/>
      <c r="P63" s="4"/>
      <c r="Q63" s="4"/>
      <c r="R63" s="4"/>
      <c r="S63" s="4"/>
      <c r="T63" s="4"/>
      <c r="U63" s="4"/>
      <c r="V63" s="4"/>
      <c r="W63" s="4"/>
      <c r="X63" s="4"/>
      <c r="Y63" s="4"/>
      <c r="Z63" s="4"/>
      <c r="AA63" s="4"/>
      <c r="AB63" s="4"/>
      <c r="AC63" s="4"/>
      <c r="AD63" s="4"/>
      <c r="AE63" s="4"/>
      <c r="AF63" s="4"/>
      <c r="AG63" s="4"/>
    </row>
    <row r="64" spans="2:42" s="115" customFormat="1" x14ac:dyDescent="0.2">
      <c r="B64" s="715" t="s">
        <v>993</v>
      </c>
      <c r="C64" s="1376">
        <v>5.4286501762499601E-3</v>
      </c>
      <c r="D64" s="716" t="s">
        <v>23</v>
      </c>
      <c r="G64" s="4"/>
      <c r="H64" s="4"/>
      <c r="I64" s="4"/>
      <c r="J64" s="4"/>
      <c r="K64" s="4"/>
      <c r="L64" s="4"/>
      <c r="M64" s="4"/>
      <c r="N64" s="4"/>
      <c r="O64" s="4"/>
      <c r="P64" s="4"/>
      <c r="Q64" s="4"/>
      <c r="R64" s="4"/>
      <c r="S64" s="4"/>
      <c r="T64" s="4"/>
      <c r="U64" s="4"/>
      <c r="V64" s="4"/>
      <c r="W64" s="4"/>
      <c r="X64" s="4"/>
      <c r="Y64" s="4"/>
      <c r="Z64" s="4"/>
      <c r="AA64" s="4"/>
      <c r="AB64" s="4"/>
      <c r="AC64" s="4"/>
      <c r="AD64" s="4"/>
      <c r="AE64" s="4"/>
      <c r="AF64" s="4"/>
      <c r="AG64" s="4"/>
    </row>
    <row r="65" spans="2:33" s="115" customFormat="1" x14ac:dyDescent="0.2">
      <c r="B65" s="715" t="s">
        <v>994</v>
      </c>
      <c r="C65" s="1376">
        <v>8.3732455423833584E-3</v>
      </c>
      <c r="D65" s="716" t="s">
        <v>23</v>
      </c>
      <c r="G65" s="4"/>
      <c r="H65" s="4"/>
      <c r="I65" s="4"/>
      <c r="J65" s="4"/>
      <c r="K65" s="4"/>
      <c r="L65" s="4"/>
      <c r="M65" s="4"/>
      <c r="N65" s="4"/>
      <c r="O65" s="4"/>
      <c r="P65" s="4"/>
      <c r="Q65" s="4"/>
      <c r="R65" s="4"/>
      <c r="S65" s="4"/>
      <c r="T65" s="4"/>
      <c r="U65" s="4"/>
      <c r="V65" s="4"/>
      <c r="W65" s="4"/>
      <c r="X65" s="4"/>
      <c r="Y65" s="4"/>
      <c r="Z65" s="4"/>
      <c r="AA65" s="4"/>
      <c r="AB65" s="4"/>
      <c r="AC65" s="4"/>
      <c r="AD65" s="4"/>
      <c r="AE65" s="4"/>
      <c r="AF65" s="4"/>
      <c r="AG65" s="4"/>
    </row>
    <row r="66" spans="2:33" s="115" customFormat="1" x14ac:dyDescent="0.2">
      <c r="B66" s="715" t="s">
        <v>995</v>
      </c>
      <c r="C66" s="1376">
        <v>7.0842532071092815E-3</v>
      </c>
      <c r="D66" s="716" t="s">
        <v>23</v>
      </c>
      <c r="G66" s="4"/>
      <c r="H66" s="4"/>
      <c r="I66" s="710"/>
      <c r="J66" s="4"/>
      <c r="K66" s="4"/>
      <c r="L66" s="4"/>
      <c r="M66" s="4"/>
      <c r="N66" s="4"/>
      <c r="O66" s="4"/>
      <c r="P66" s="4"/>
      <c r="Q66" s="4"/>
      <c r="R66" s="4"/>
      <c r="S66" s="4"/>
      <c r="T66" s="4"/>
      <c r="U66" s="4"/>
      <c r="V66" s="4"/>
      <c r="W66" s="4"/>
      <c r="X66" s="4"/>
      <c r="Y66" s="4"/>
      <c r="Z66" s="4"/>
      <c r="AA66" s="4"/>
      <c r="AB66" s="4"/>
      <c r="AC66" s="4"/>
      <c r="AD66" s="4"/>
      <c r="AE66" s="4"/>
      <c r="AF66" s="4"/>
      <c r="AG66" s="4"/>
    </row>
    <row r="67" spans="2:33" s="115" customFormat="1" x14ac:dyDescent="0.2">
      <c r="B67" s="715" t="s">
        <v>996</v>
      </c>
      <c r="C67" s="1376">
        <v>3.6103542683142489E-2</v>
      </c>
      <c r="D67" s="716" t="s">
        <v>23</v>
      </c>
      <c r="G67" s="4"/>
      <c r="H67" s="4"/>
      <c r="I67" s="4"/>
      <c r="J67" s="4"/>
      <c r="K67" s="4"/>
      <c r="L67" s="4"/>
      <c r="M67" s="4"/>
      <c r="N67" s="4"/>
      <c r="O67" s="4"/>
      <c r="P67" s="4"/>
      <c r="Q67" s="4"/>
      <c r="R67" s="4"/>
      <c r="S67" s="4"/>
      <c r="T67" s="4"/>
      <c r="U67" s="4"/>
      <c r="V67" s="4"/>
      <c r="W67" s="4"/>
      <c r="X67" s="4"/>
      <c r="Y67" s="4"/>
      <c r="Z67" s="4"/>
      <c r="AA67" s="4"/>
      <c r="AB67" s="4"/>
      <c r="AC67" s="4"/>
      <c r="AD67" s="4"/>
      <c r="AE67" s="4"/>
      <c r="AF67" s="4"/>
      <c r="AG67" s="4"/>
    </row>
    <row r="68" spans="2:33" s="115" customFormat="1" x14ac:dyDescent="0.2">
      <c r="B68" s="715" t="s">
        <v>997</v>
      </c>
      <c r="C68" s="1376">
        <v>5.81508130403076E-2</v>
      </c>
      <c r="D68" s="716" t="s">
        <v>23</v>
      </c>
      <c r="G68" s="4"/>
      <c r="H68" s="4"/>
      <c r="I68" s="4"/>
      <c r="J68" s="4"/>
      <c r="K68" s="4"/>
      <c r="L68" s="4"/>
      <c r="M68" s="4"/>
      <c r="N68" s="4"/>
      <c r="O68" s="4"/>
      <c r="P68" s="4"/>
      <c r="Q68" s="4"/>
      <c r="R68" s="4"/>
      <c r="S68" s="4"/>
      <c r="T68" s="4"/>
      <c r="U68" s="4"/>
      <c r="V68" s="4"/>
      <c r="W68" s="4"/>
      <c r="X68" s="4"/>
      <c r="Y68" s="4"/>
      <c r="Z68" s="4"/>
      <c r="AA68" s="4"/>
      <c r="AB68" s="4"/>
      <c r="AC68" s="4"/>
      <c r="AD68" s="4"/>
      <c r="AE68" s="4"/>
      <c r="AF68" s="4"/>
      <c r="AG68" s="4"/>
    </row>
    <row r="69" spans="2:33" s="115" customFormat="1" x14ac:dyDescent="0.2">
      <c r="B69" s="717" t="s">
        <v>998</v>
      </c>
      <c r="C69" s="1377">
        <v>7.0379310460978268E-3</v>
      </c>
      <c r="D69" s="718" t="s">
        <v>23</v>
      </c>
      <c r="G69" s="4"/>
      <c r="H69" s="4"/>
      <c r="I69" s="4"/>
      <c r="J69" s="4"/>
      <c r="K69" s="4"/>
      <c r="L69" s="4"/>
      <c r="M69" s="4"/>
      <c r="N69" s="4"/>
      <c r="O69" s="4"/>
      <c r="P69" s="4"/>
      <c r="Q69" s="4"/>
      <c r="R69" s="4"/>
      <c r="S69" s="4"/>
      <c r="T69" s="4"/>
      <c r="U69" s="4"/>
      <c r="V69" s="4"/>
      <c r="W69" s="4"/>
      <c r="X69" s="4"/>
      <c r="Y69" s="4"/>
      <c r="Z69" s="4"/>
      <c r="AA69" s="4"/>
      <c r="AB69" s="4"/>
      <c r="AC69" s="4"/>
      <c r="AD69" s="4"/>
      <c r="AE69" s="4"/>
      <c r="AF69" s="4"/>
      <c r="AG69" s="4"/>
    </row>
    <row r="70" spans="2:33" s="115" customFormat="1" x14ac:dyDescent="0.2">
      <c r="B70" s="712" t="s">
        <v>999</v>
      </c>
      <c r="C70" s="1155"/>
      <c r="D70" s="1157"/>
      <c r="G70" s="4"/>
      <c r="H70" s="4"/>
      <c r="I70" s="4"/>
      <c r="J70" s="4"/>
      <c r="K70" s="4"/>
      <c r="L70" s="4"/>
      <c r="M70" s="4"/>
      <c r="N70" s="4"/>
      <c r="O70" s="4"/>
      <c r="P70" s="4"/>
      <c r="Q70" s="4"/>
      <c r="R70" s="4"/>
      <c r="S70" s="4"/>
      <c r="T70" s="4"/>
      <c r="U70" s="4"/>
      <c r="V70" s="4"/>
      <c r="W70" s="4"/>
      <c r="X70" s="4"/>
      <c r="Y70" s="4"/>
      <c r="Z70" s="4"/>
      <c r="AA70" s="4"/>
      <c r="AB70" s="4"/>
      <c r="AC70" s="4"/>
      <c r="AD70" s="4"/>
      <c r="AE70" s="4"/>
      <c r="AF70" s="4"/>
      <c r="AG70" s="4"/>
    </row>
    <row r="71" spans="2:33" s="115" customFormat="1" x14ac:dyDescent="0.2">
      <c r="B71" s="713" t="s">
        <v>1000</v>
      </c>
      <c r="C71" s="1375">
        <v>6.6252183124803155E-3</v>
      </c>
      <c r="D71" s="714" t="s">
        <v>510</v>
      </c>
      <c r="G71" s="4"/>
      <c r="H71" s="4"/>
      <c r="I71" s="4"/>
      <c r="J71" s="4"/>
      <c r="K71" s="4"/>
      <c r="L71" s="4"/>
      <c r="M71" s="4"/>
      <c r="N71" s="4"/>
      <c r="O71" s="4"/>
      <c r="P71" s="4"/>
      <c r="Q71" s="4"/>
      <c r="R71" s="4"/>
      <c r="S71" s="4"/>
      <c r="T71" s="4"/>
      <c r="U71" s="4"/>
      <c r="V71" s="4"/>
      <c r="W71" s="4"/>
      <c r="X71" s="4"/>
      <c r="Y71" s="4"/>
      <c r="Z71" s="4"/>
      <c r="AA71" s="4"/>
      <c r="AB71" s="4"/>
      <c r="AC71" s="4"/>
      <c r="AD71" s="4"/>
      <c r="AE71" s="4"/>
      <c r="AF71" s="4"/>
      <c r="AG71" s="4"/>
    </row>
    <row r="72" spans="2:33" s="115" customFormat="1" x14ac:dyDescent="0.2">
      <c r="B72" s="715" t="s">
        <v>1154</v>
      </c>
      <c r="C72" s="1376">
        <v>1.8103075490224149E-3</v>
      </c>
      <c r="D72" s="716" t="s">
        <v>510</v>
      </c>
      <c r="G72" s="4"/>
      <c r="H72" s="4"/>
      <c r="I72" s="4"/>
      <c r="J72" s="4"/>
      <c r="K72" s="4"/>
      <c r="L72" s="4"/>
      <c r="M72" s="4"/>
      <c r="N72" s="4"/>
      <c r="O72" s="4"/>
      <c r="P72" s="4"/>
      <c r="Q72" s="4"/>
      <c r="R72" s="4"/>
      <c r="S72" s="4"/>
      <c r="T72" s="4"/>
      <c r="U72" s="4"/>
      <c r="V72" s="4"/>
      <c r="W72" s="4"/>
      <c r="X72" s="4"/>
      <c r="Y72" s="4"/>
      <c r="Z72" s="4"/>
      <c r="AA72" s="4"/>
      <c r="AB72" s="4"/>
      <c r="AC72" s="4"/>
      <c r="AD72" s="4"/>
      <c r="AE72" s="4"/>
      <c r="AF72" s="4"/>
      <c r="AG72" s="4"/>
    </row>
    <row r="73" spans="2:33" s="115" customFormat="1" x14ac:dyDescent="0.2">
      <c r="B73" s="715" t="s">
        <v>1001</v>
      </c>
      <c r="C73" s="1376">
        <v>1.2274021951667259E-3</v>
      </c>
      <c r="D73" s="716" t="s">
        <v>510</v>
      </c>
      <c r="G73" s="4"/>
      <c r="H73" s="4"/>
      <c r="I73" s="4"/>
      <c r="J73" s="4"/>
      <c r="K73" s="4"/>
      <c r="L73" s="4"/>
      <c r="M73" s="4"/>
      <c r="N73" s="4"/>
      <c r="O73" s="4"/>
      <c r="P73" s="4"/>
      <c r="Q73" s="4"/>
      <c r="R73" s="4"/>
      <c r="S73" s="4"/>
      <c r="T73" s="4"/>
      <c r="U73" s="4"/>
      <c r="V73" s="4"/>
      <c r="W73" s="4"/>
      <c r="X73" s="4"/>
      <c r="Y73" s="4"/>
      <c r="Z73" s="4"/>
      <c r="AA73" s="4"/>
      <c r="AB73" s="4"/>
      <c r="AC73" s="4"/>
      <c r="AD73" s="4"/>
      <c r="AE73" s="4"/>
      <c r="AF73" s="4"/>
      <c r="AG73" s="4"/>
    </row>
    <row r="74" spans="2:33" s="115" customFormat="1" x14ac:dyDescent="0.2">
      <c r="B74" s="715" t="s">
        <v>1155</v>
      </c>
      <c r="C74" s="1376">
        <v>4.4019044763953059E-3</v>
      </c>
      <c r="D74" s="716" t="s">
        <v>510</v>
      </c>
      <c r="G74" s="4"/>
      <c r="H74" s="4"/>
      <c r="I74" s="4"/>
      <c r="J74" s="4"/>
      <c r="K74" s="4"/>
      <c r="L74" s="4"/>
      <c r="M74" s="4"/>
      <c r="N74" s="4"/>
      <c r="O74" s="4"/>
      <c r="P74" s="4"/>
      <c r="Q74" s="4"/>
      <c r="R74" s="4"/>
      <c r="S74" s="4"/>
      <c r="T74" s="4"/>
      <c r="U74" s="4"/>
      <c r="V74" s="4"/>
      <c r="W74" s="4"/>
      <c r="X74" s="4"/>
      <c r="Y74" s="4"/>
      <c r="Z74" s="4"/>
      <c r="AA74" s="4"/>
      <c r="AB74" s="4"/>
      <c r="AC74" s="4"/>
      <c r="AD74" s="4"/>
      <c r="AE74" s="4"/>
      <c r="AF74" s="4"/>
      <c r="AG74" s="4"/>
    </row>
    <row r="75" spans="2:33" s="115" customFormat="1" x14ac:dyDescent="0.2">
      <c r="B75" s="715" t="s">
        <v>1197</v>
      </c>
      <c r="C75" s="1376">
        <v>3.660258623448234E-3</v>
      </c>
      <c r="D75" s="716" t="s">
        <v>510</v>
      </c>
      <c r="G75" s="4"/>
      <c r="H75" s="4"/>
      <c r="I75" s="4"/>
      <c r="J75" s="4"/>
      <c r="K75" s="4"/>
      <c r="L75" s="4"/>
      <c r="M75" s="4"/>
      <c r="N75" s="4"/>
      <c r="O75" s="4"/>
      <c r="P75" s="4"/>
      <c r="Q75" s="4"/>
      <c r="R75" s="4"/>
      <c r="S75" s="4"/>
      <c r="T75" s="4"/>
      <c r="U75" s="4"/>
      <c r="V75" s="4"/>
      <c r="W75" s="4"/>
      <c r="X75" s="4"/>
      <c r="Y75" s="4"/>
      <c r="Z75" s="4"/>
      <c r="AA75" s="4"/>
      <c r="AB75" s="4"/>
      <c r="AC75" s="4"/>
      <c r="AD75" s="4"/>
      <c r="AE75" s="4"/>
      <c r="AF75" s="4"/>
      <c r="AG75" s="4"/>
    </row>
    <row r="76" spans="2:33" s="115" customFormat="1" x14ac:dyDescent="0.2">
      <c r="B76" s="715" t="s">
        <v>1002</v>
      </c>
      <c r="C76" s="1376">
        <v>5.0763648214174435E-3</v>
      </c>
      <c r="D76" s="716" t="s">
        <v>510</v>
      </c>
      <c r="G76" s="4"/>
      <c r="H76" s="4"/>
      <c r="I76" s="4"/>
      <c r="J76" s="4"/>
      <c r="K76" s="4"/>
      <c r="L76" s="4"/>
      <c r="M76" s="4"/>
      <c r="N76" s="4"/>
      <c r="O76" s="4"/>
      <c r="P76" s="4"/>
      <c r="Q76" s="4"/>
      <c r="R76" s="4"/>
      <c r="S76" s="4"/>
      <c r="T76" s="4"/>
      <c r="U76" s="4"/>
      <c r="V76" s="4"/>
      <c r="W76" s="4"/>
      <c r="X76" s="4"/>
      <c r="Y76" s="4"/>
      <c r="Z76" s="4"/>
      <c r="AA76" s="4"/>
      <c r="AB76" s="4"/>
      <c r="AC76" s="4"/>
      <c r="AD76" s="4"/>
      <c r="AE76" s="4"/>
      <c r="AF76" s="4"/>
      <c r="AG76" s="4"/>
    </row>
    <row r="77" spans="2:33" s="115" customFormat="1" x14ac:dyDescent="0.2">
      <c r="B77" s="715" t="s">
        <v>1003</v>
      </c>
      <c r="C77" s="1376">
        <v>3.6048519685596345E-3</v>
      </c>
      <c r="D77" s="716" t="s">
        <v>510</v>
      </c>
      <c r="G77" s="4"/>
      <c r="H77" s="4"/>
      <c r="I77" s="4"/>
      <c r="J77" s="4"/>
      <c r="K77" s="4"/>
      <c r="L77" s="4"/>
      <c r="M77" s="4"/>
      <c r="N77" s="4"/>
      <c r="O77" s="4"/>
      <c r="P77" s="4"/>
      <c r="Q77" s="4"/>
      <c r="R77" s="4"/>
      <c r="S77" s="4"/>
      <c r="T77" s="4"/>
      <c r="U77" s="4"/>
      <c r="V77" s="4"/>
      <c r="W77" s="4"/>
      <c r="X77" s="4"/>
      <c r="Y77" s="4"/>
      <c r="Z77" s="4"/>
      <c r="AA77" s="4"/>
      <c r="AB77" s="4"/>
      <c r="AC77" s="4"/>
      <c r="AD77" s="4"/>
      <c r="AE77" s="4"/>
      <c r="AF77" s="4"/>
      <c r="AG77" s="4"/>
    </row>
    <row r="78" spans="2:33" s="115" customFormat="1" x14ac:dyDescent="0.2">
      <c r="B78" s="715" t="s">
        <v>1004</v>
      </c>
      <c r="C78" s="1376">
        <v>1.8433032594032258E-3</v>
      </c>
      <c r="D78" s="716" t="s">
        <v>510</v>
      </c>
      <c r="G78" s="4"/>
      <c r="H78" s="4"/>
      <c r="I78" s="4"/>
      <c r="J78" s="4"/>
      <c r="K78" s="4"/>
      <c r="L78" s="4"/>
      <c r="M78" s="4"/>
      <c r="N78" s="4"/>
      <c r="O78" s="4"/>
      <c r="P78" s="4"/>
      <c r="Q78" s="4"/>
      <c r="R78" s="4"/>
      <c r="S78" s="4"/>
      <c r="T78" s="4"/>
      <c r="U78" s="4"/>
      <c r="V78" s="4"/>
      <c r="W78" s="4"/>
      <c r="X78" s="4"/>
      <c r="Y78" s="4"/>
      <c r="Z78" s="4"/>
      <c r="AA78" s="4"/>
      <c r="AB78" s="4"/>
      <c r="AC78" s="4"/>
      <c r="AD78" s="4"/>
      <c r="AE78" s="4"/>
      <c r="AF78" s="4"/>
      <c r="AG78" s="4"/>
    </row>
    <row r="79" spans="2:33" s="115" customFormat="1" x14ac:dyDescent="0.2">
      <c r="B79" s="715" t="s">
        <v>1005</v>
      </c>
      <c r="C79" s="1376">
        <v>1.6181312788521942E-2</v>
      </c>
      <c r="D79" s="716" t="s">
        <v>510</v>
      </c>
      <c r="G79" s="4"/>
      <c r="H79" s="4"/>
      <c r="I79" s="4"/>
      <c r="J79" s="4"/>
      <c r="K79" s="4"/>
      <c r="L79" s="4"/>
      <c r="M79" s="4"/>
      <c r="N79" s="4"/>
      <c r="O79" s="4"/>
      <c r="P79" s="4"/>
      <c r="Q79" s="4"/>
      <c r="R79" s="4"/>
      <c r="S79" s="4"/>
      <c r="T79" s="4"/>
      <c r="U79" s="4"/>
      <c r="V79" s="4"/>
      <c r="W79" s="4"/>
      <c r="X79" s="4"/>
      <c r="Y79" s="4"/>
      <c r="Z79" s="4"/>
      <c r="AA79" s="4"/>
      <c r="AB79" s="4"/>
      <c r="AC79" s="4"/>
      <c r="AD79" s="4"/>
      <c r="AE79" s="4"/>
      <c r="AF79" s="4"/>
      <c r="AG79" s="4"/>
    </row>
    <row r="80" spans="2:33" s="115" customFormat="1" x14ac:dyDescent="0.2">
      <c r="B80" s="715" t="s">
        <v>1006</v>
      </c>
      <c r="C80" s="1376">
        <v>4.7178333296842654E-3</v>
      </c>
      <c r="D80" s="716" t="s">
        <v>510</v>
      </c>
      <c r="G80" s="4"/>
      <c r="H80" s="4"/>
      <c r="I80" s="4"/>
      <c r="J80" s="4"/>
      <c r="K80" s="4"/>
      <c r="L80" s="4"/>
      <c r="M80" s="4"/>
      <c r="N80" s="4"/>
      <c r="O80" s="4"/>
      <c r="P80" s="4"/>
      <c r="Q80" s="4"/>
      <c r="R80" s="4"/>
      <c r="S80" s="4"/>
      <c r="T80" s="4"/>
      <c r="U80" s="4"/>
      <c r="V80" s="4"/>
      <c r="W80" s="4"/>
      <c r="X80" s="4"/>
      <c r="Y80" s="4"/>
      <c r="Z80" s="4"/>
      <c r="AA80" s="4"/>
      <c r="AB80" s="4"/>
      <c r="AC80" s="4"/>
      <c r="AD80" s="4"/>
      <c r="AE80" s="4"/>
      <c r="AF80" s="4"/>
      <c r="AG80" s="4"/>
    </row>
    <row r="81" spans="1:33" s="115" customFormat="1" x14ac:dyDescent="0.2">
      <c r="B81" s="715" t="s">
        <v>1007</v>
      </c>
      <c r="C81" s="1376">
        <v>5.0430647788075635E-3</v>
      </c>
      <c r="D81" s="716" t="s">
        <v>510</v>
      </c>
      <c r="G81" s="4"/>
      <c r="H81" s="4"/>
      <c r="I81" s="4"/>
      <c r="J81" s="4"/>
      <c r="K81" s="4"/>
      <c r="L81" s="4"/>
      <c r="M81" s="4"/>
      <c r="N81" s="4"/>
      <c r="O81" s="4"/>
      <c r="P81" s="4"/>
      <c r="Q81" s="4"/>
      <c r="R81" s="4"/>
      <c r="S81" s="4"/>
      <c r="T81" s="4"/>
      <c r="U81" s="4"/>
      <c r="V81" s="4"/>
      <c r="W81" s="4"/>
      <c r="X81" s="4"/>
      <c r="Y81" s="4"/>
      <c r="Z81" s="4"/>
      <c r="AA81" s="4"/>
      <c r="AB81" s="4"/>
      <c r="AC81" s="4"/>
      <c r="AD81" s="4"/>
      <c r="AE81" s="4"/>
      <c r="AF81" s="4"/>
      <c r="AG81" s="4"/>
    </row>
    <row r="82" spans="1:33" s="115" customFormat="1" x14ac:dyDescent="0.2">
      <c r="B82" s="715" t="s">
        <v>1008</v>
      </c>
      <c r="C82" s="1376">
        <v>4.8596496895204962E-2</v>
      </c>
      <c r="D82" s="716" t="s">
        <v>510</v>
      </c>
      <c r="G82" s="4"/>
      <c r="H82" s="4"/>
      <c r="I82" s="4"/>
      <c r="J82" s="4"/>
      <c r="K82" s="4"/>
      <c r="L82" s="4"/>
      <c r="M82" s="4"/>
      <c r="N82" s="4"/>
      <c r="O82" s="4"/>
      <c r="P82" s="4"/>
      <c r="Q82" s="4"/>
      <c r="R82" s="4"/>
      <c r="S82" s="4"/>
      <c r="T82" s="4"/>
      <c r="U82" s="4"/>
      <c r="V82" s="4"/>
      <c r="W82" s="4"/>
      <c r="X82" s="4"/>
      <c r="Y82" s="4"/>
      <c r="Z82" s="4"/>
      <c r="AA82" s="4"/>
      <c r="AB82" s="4"/>
      <c r="AC82" s="4"/>
      <c r="AD82" s="4"/>
      <c r="AE82" s="4"/>
      <c r="AF82" s="4"/>
      <c r="AG82" s="4"/>
    </row>
    <row r="83" spans="1:33" s="115" customFormat="1" x14ac:dyDescent="0.2">
      <c r="B83" s="717" t="s">
        <v>1009</v>
      </c>
      <c r="C83" s="1377">
        <v>2.8035142877834276E-2</v>
      </c>
      <c r="D83" s="718" t="s">
        <v>510</v>
      </c>
      <c r="G83" s="4"/>
      <c r="H83" s="4"/>
      <c r="I83" s="4"/>
      <c r="J83" s="4"/>
      <c r="K83" s="4"/>
      <c r="L83" s="4"/>
      <c r="M83" s="4"/>
      <c r="N83" s="4"/>
      <c r="O83" s="4"/>
      <c r="P83" s="4"/>
      <c r="Q83" s="4"/>
      <c r="R83" s="4"/>
      <c r="S83" s="4"/>
      <c r="T83" s="4"/>
      <c r="U83" s="4"/>
      <c r="V83" s="4"/>
      <c r="W83" s="4"/>
      <c r="X83" s="4"/>
      <c r="Y83" s="4"/>
      <c r="Z83" s="4"/>
      <c r="AA83" s="4"/>
      <c r="AB83" s="4"/>
      <c r="AC83" s="4"/>
      <c r="AD83" s="4"/>
      <c r="AE83" s="4"/>
      <c r="AF83" s="4"/>
      <c r="AG83" s="4"/>
    </row>
    <row r="84" spans="1:33" s="38" customFormat="1" x14ac:dyDescent="0.2">
      <c r="A84" s="57"/>
      <c r="B84" s="712" t="s">
        <v>1010</v>
      </c>
      <c r="C84" s="1155"/>
      <c r="D84" s="1157"/>
      <c r="G84" s="4"/>
      <c r="H84" s="4"/>
      <c r="I84" s="4"/>
      <c r="J84" s="4"/>
      <c r="K84" s="4"/>
      <c r="L84" s="4"/>
      <c r="M84" s="4"/>
      <c r="N84" s="4"/>
      <c r="O84" s="4"/>
      <c r="P84" s="4"/>
      <c r="Q84" s="4"/>
      <c r="R84" s="4"/>
      <c r="S84" s="4"/>
      <c r="T84" s="4"/>
      <c r="U84" s="4"/>
      <c r="V84" s="4"/>
      <c r="W84" s="4"/>
      <c r="X84" s="4"/>
      <c r="Y84" s="4"/>
      <c r="Z84" s="4"/>
      <c r="AA84" s="4"/>
      <c r="AB84" s="4"/>
      <c r="AC84" s="4"/>
      <c r="AD84" s="4"/>
      <c r="AE84" s="4"/>
      <c r="AF84" s="4"/>
      <c r="AG84" s="4"/>
    </row>
    <row r="85" spans="1:33" s="38" customFormat="1" x14ac:dyDescent="0.2">
      <c r="A85" s="57"/>
      <c r="B85" s="713" t="s">
        <v>1011</v>
      </c>
      <c r="C85" s="1375">
        <v>3.1848729871884046E-4</v>
      </c>
      <c r="D85" s="714" t="s">
        <v>510</v>
      </c>
      <c r="G85" s="4"/>
      <c r="H85" s="4"/>
      <c r="I85" s="4"/>
      <c r="J85" s="4"/>
      <c r="K85" s="4"/>
      <c r="L85" s="4"/>
      <c r="M85" s="4"/>
      <c r="N85" s="4"/>
      <c r="O85" s="4"/>
      <c r="P85" s="4"/>
      <c r="Q85" s="4"/>
      <c r="R85" s="4"/>
      <c r="S85" s="4"/>
      <c r="T85" s="4"/>
      <c r="U85" s="4"/>
      <c r="V85" s="4"/>
      <c r="W85" s="4"/>
      <c r="X85" s="4"/>
      <c r="Y85" s="4"/>
      <c r="Z85" s="4"/>
      <c r="AA85" s="4"/>
      <c r="AB85" s="4"/>
      <c r="AC85" s="4"/>
      <c r="AD85" s="4"/>
      <c r="AE85" s="4"/>
      <c r="AF85" s="4"/>
      <c r="AG85" s="4"/>
    </row>
    <row r="86" spans="1:33" s="38" customFormat="1" x14ac:dyDescent="0.2">
      <c r="A86" s="57"/>
      <c r="B86" s="715" t="s">
        <v>1012</v>
      </c>
      <c r="C86" s="1376">
        <v>1.3577550824492766E-3</v>
      </c>
      <c r="D86" s="716" t="s">
        <v>510</v>
      </c>
      <c r="G86" s="4"/>
      <c r="H86" s="4"/>
      <c r="I86" s="4"/>
      <c r="J86" s="4"/>
      <c r="K86" s="4"/>
      <c r="L86" s="4"/>
      <c r="M86" s="4"/>
      <c r="N86" s="4"/>
      <c r="O86" s="4"/>
      <c r="P86" s="4"/>
      <c r="Q86" s="4"/>
      <c r="R86" s="4"/>
      <c r="S86" s="4"/>
      <c r="T86" s="4"/>
      <c r="U86" s="4"/>
      <c r="V86" s="4"/>
      <c r="W86" s="4"/>
      <c r="X86" s="4"/>
      <c r="Y86" s="4"/>
      <c r="Z86" s="4"/>
      <c r="AA86" s="4"/>
      <c r="AB86" s="4"/>
      <c r="AC86" s="4"/>
      <c r="AD86" s="4"/>
      <c r="AE86" s="4"/>
      <c r="AF86" s="4"/>
      <c r="AG86" s="4"/>
    </row>
    <row r="87" spans="1:33" s="38" customFormat="1" x14ac:dyDescent="0.2">
      <c r="A87" s="57"/>
      <c r="B87" s="715" t="s">
        <v>1013</v>
      </c>
      <c r="C87" s="1376">
        <v>5.8733134150387627E-3</v>
      </c>
      <c r="D87" s="716" t="s">
        <v>510</v>
      </c>
      <c r="G87" s="4"/>
      <c r="H87" s="4"/>
      <c r="I87" s="4"/>
      <c r="J87" s="4"/>
      <c r="K87" s="4"/>
      <c r="L87" s="4"/>
      <c r="M87" s="4"/>
      <c r="N87" s="4"/>
      <c r="O87" s="4"/>
      <c r="P87" s="4"/>
      <c r="Q87" s="4"/>
      <c r="R87" s="4"/>
      <c r="S87" s="4"/>
      <c r="T87" s="4"/>
      <c r="U87" s="4"/>
      <c r="V87" s="4"/>
      <c r="W87" s="4"/>
      <c r="X87" s="4"/>
      <c r="Y87" s="4"/>
      <c r="Z87" s="4"/>
      <c r="AA87" s="4"/>
      <c r="AB87" s="4"/>
      <c r="AC87" s="4"/>
      <c r="AD87" s="4"/>
      <c r="AE87" s="4"/>
      <c r="AF87" s="4"/>
      <c r="AG87" s="4"/>
    </row>
    <row r="88" spans="1:33" s="38" customFormat="1" x14ac:dyDescent="0.2">
      <c r="A88" s="57"/>
      <c r="B88" s="715" t="s">
        <v>1014</v>
      </c>
      <c r="C88" s="1376">
        <v>3.2895590635257741E-3</v>
      </c>
      <c r="D88" s="716" t="s">
        <v>510</v>
      </c>
      <c r="G88" s="4"/>
      <c r="H88" s="4"/>
      <c r="I88" s="4"/>
      <c r="J88" s="4"/>
      <c r="K88" s="4"/>
      <c r="L88" s="4"/>
      <c r="M88" s="4"/>
      <c r="N88" s="4"/>
      <c r="O88" s="4"/>
      <c r="P88" s="4"/>
      <c r="Q88" s="4"/>
      <c r="R88" s="4"/>
      <c r="S88" s="4"/>
      <c r="T88" s="4"/>
      <c r="U88" s="4"/>
      <c r="V88" s="4"/>
      <c r="W88" s="4"/>
      <c r="X88" s="4"/>
      <c r="Y88" s="4"/>
      <c r="Z88" s="4"/>
      <c r="AA88" s="4"/>
      <c r="AB88" s="4"/>
      <c r="AC88" s="4"/>
      <c r="AD88" s="4"/>
      <c r="AE88" s="4"/>
      <c r="AF88" s="4"/>
      <c r="AG88" s="4"/>
    </row>
    <row r="89" spans="1:33" s="38" customFormat="1" x14ac:dyDescent="0.2">
      <c r="A89" s="57"/>
      <c r="B89" s="715" t="s">
        <v>1015</v>
      </c>
      <c r="C89" s="1376">
        <v>8.2210334495982362E-3</v>
      </c>
      <c r="D89" s="716" t="s">
        <v>510</v>
      </c>
      <c r="G89" s="4"/>
      <c r="H89" s="4"/>
      <c r="I89" s="4"/>
      <c r="J89" s="4"/>
      <c r="K89" s="4"/>
      <c r="L89" s="4"/>
      <c r="M89" s="4"/>
      <c r="N89" s="4"/>
      <c r="O89" s="4"/>
      <c r="P89" s="4"/>
      <c r="Q89" s="4"/>
      <c r="R89" s="4"/>
      <c r="S89" s="4"/>
      <c r="T89" s="4"/>
      <c r="U89" s="4"/>
      <c r="V89" s="4"/>
      <c r="W89" s="4"/>
      <c r="X89" s="4"/>
      <c r="Y89" s="4"/>
      <c r="Z89" s="4"/>
      <c r="AA89" s="4"/>
      <c r="AB89" s="4"/>
      <c r="AC89" s="4"/>
      <c r="AD89" s="4"/>
      <c r="AE89" s="4"/>
      <c r="AF89" s="4"/>
      <c r="AG89" s="4"/>
    </row>
    <row r="90" spans="1:33" s="38" customFormat="1" x14ac:dyDescent="0.2">
      <c r="A90" s="57"/>
      <c r="B90" s="715" t="s">
        <v>1016</v>
      </c>
      <c r="C90" s="1376">
        <v>2.3906490680562316E-3</v>
      </c>
      <c r="D90" s="716" t="s">
        <v>510</v>
      </c>
      <c r="G90" s="4"/>
      <c r="H90" s="4"/>
      <c r="I90" s="4"/>
      <c r="J90" s="4"/>
      <c r="K90" s="4"/>
      <c r="L90" s="4"/>
      <c r="M90" s="4"/>
      <c r="N90" s="4"/>
      <c r="O90" s="4"/>
      <c r="P90" s="4"/>
      <c r="Q90" s="4"/>
      <c r="R90" s="4"/>
      <c r="S90" s="4"/>
      <c r="T90" s="4"/>
      <c r="U90" s="4"/>
      <c r="V90" s="4"/>
      <c r="W90" s="4"/>
      <c r="X90" s="4"/>
      <c r="Y90" s="4"/>
      <c r="Z90" s="4"/>
      <c r="AA90" s="4"/>
      <c r="AB90" s="4"/>
      <c r="AC90" s="4"/>
      <c r="AD90" s="4"/>
      <c r="AE90" s="4"/>
      <c r="AF90" s="4"/>
      <c r="AG90" s="4"/>
    </row>
    <row r="91" spans="1:33" s="38" customFormat="1" x14ac:dyDescent="0.2">
      <c r="A91" s="57"/>
      <c r="B91" s="717" t="s">
        <v>1017</v>
      </c>
      <c r="C91" s="1377">
        <v>1.6494431747560882E-2</v>
      </c>
      <c r="D91" s="718" t="s">
        <v>510</v>
      </c>
      <c r="G91" s="4"/>
      <c r="H91" s="4"/>
      <c r="I91" s="4"/>
      <c r="J91" s="4"/>
      <c r="K91" s="4"/>
      <c r="L91" s="4"/>
      <c r="M91" s="4"/>
      <c r="N91" s="4"/>
      <c r="O91" s="4"/>
      <c r="P91" s="4"/>
      <c r="Q91" s="4"/>
      <c r="R91" s="4"/>
      <c r="S91" s="4"/>
      <c r="T91" s="4"/>
      <c r="U91" s="4"/>
      <c r="V91" s="4"/>
      <c r="W91" s="4"/>
      <c r="X91" s="4"/>
      <c r="Y91" s="4"/>
      <c r="Z91" s="4"/>
      <c r="AA91" s="4"/>
      <c r="AB91" s="4"/>
      <c r="AC91" s="4"/>
      <c r="AD91" s="4"/>
      <c r="AE91" s="4"/>
      <c r="AF91" s="4"/>
      <c r="AG91" s="4"/>
    </row>
    <row r="92" spans="1:33" s="38" customFormat="1" x14ac:dyDescent="0.2">
      <c r="A92" s="57"/>
      <c r="B92" s="712" t="s">
        <v>1018</v>
      </c>
      <c r="C92" s="1155"/>
      <c r="D92" s="1157"/>
      <c r="G92" s="4"/>
      <c r="H92" s="4"/>
      <c r="I92" s="4"/>
      <c r="J92" s="4"/>
      <c r="K92" s="4"/>
      <c r="L92" s="4"/>
      <c r="M92" s="4"/>
      <c r="N92" s="4"/>
      <c r="O92" s="4"/>
      <c r="P92" s="4"/>
      <c r="Q92" s="4"/>
      <c r="R92" s="4"/>
      <c r="S92" s="4"/>
      <c r="T92" s="4"/>
      <c r="U92" s="4"/>
      <c r="V92" s="4"/>
      <c r="W92" s="4"/>
      <c r="X92" s="4"/>
      <c r="Y92" s="4"/>
      <c r="Z92" s="4"/>
      <c r="AA92" s="4"/>
      <c r="AB92" s="4"/>
      <c r="AC92" s="4"/>
      <c r="AD92" s="4"/>
      <c r="AE92" s="4"/>
      <c r="AF92" s="4"/>
      <c r="AG92" s="4"/>
    </row>
    <row r="93" spans="1:33" s="38" customFormat="1" x14ac:dyDescent="0.2">
      <c r="A93" s="57"/>
      <c r="B93" s="713" t="s">
        <v>1019</v>
      </c>
      <c r="C93" s="1375">
        <v>5.4575816113945222E-3</v>
      </c>
      <c r="D93" s="714" t="s">
        <v>510</v>
      </c>
      <c r="G93" s="4"/>
      <c r="H93" s="4"/>
      <c r="I93" s="4"/>
      <c r="J93" s="4"/>
      <c r="K93" s="4"/>
      <c r="L93" s="4"/>
      <c r="M93" s="4"/>
      <c r="N93" s="4"/>
      <c r="O93" s="4"/>
      <c r="P93" s="4"/>
      <c r="Q93" s="4"/>
      <c r="R93" s="4"/>
      <c r="S93" s="4"/>
      <c r="T93" s="4"/>
      <c r="U93" s="4"/>
      <c r="V93" s="4"/>
      <c r="W93" s="4"/>
      <c r="X93" s="4"/>
      <c r="Y93" s="4"/>
      <c r="Z93" s="4"/>
      <c r="AA93" s="4"/>
      <c r="AB93" s="4"/>
      <c r="AC93" s="4"/>
      <c r="AD93" s="4"/>
      <c r="AE93" s="4"/>
      <c r="AF93" s="4"/>
      <c r="AG93" s="4"/>
    </row>
    <row r="94" spans="1:33" s="38" customFormat="1" x14ac:dyDescent="0.2">
      <c r="A94" s="57"/>
      <c r="B94" s="715" t="s">
        <v>1020</v>
      </c>
      <c r="C94" s="1376">
        <v>3.4634147861337681E-3</v>
      </c>
      <c r="D94" s="716" t="s">
        <v>510</v>
      </c>
      <c r="G94" s="4"/>
      <c r="H94" s="4"/>
      <c r="I94" s="4"/>
      <c r="J94" s="4"/>
      <c r="K94" s="4"/>
      <c r="L94" s="4"/>
      <c r="M94" s="4"/>
      <c r="N94" s="4"/>
      <c r="O94" s="4"/>
      <c r="P94" s="4"/>
      <c r="Q94" s="4"/>
      <c r="R94" s="4"/>
      <c r="S94" s="4"/>
      <c r="T94" s="4"/>
      <c r="U94" s="4"/>
      <c r="V94" s="4"/>
      <c r="W94" s="4"/>
      <c r="X94" s="4"/>
      <c r="Y94" s="4"/>
      <c r="Z94" s="4"/>
      <c r="AA94" s="4"/>
      <c r="AB94" s="4"/>
      <c r="AC94" s="4"/>
      <c r="AD94" s="4"/>
      <c r="AE94" s="4"/>
      <c r="AF94" s="4"/>
      <c r="AG94" s="4"/>
    </row>
    <row r="95" spans="1:33" s="38" customFormat="1" x14ac:dyDescent="0.2">
      <c r="A95" s="57"/>
      <c r="B95" s="715" t="s">
        <v>1021</v>
      </c>
      <c r="C95" s="1376">
        <v>2.8543607760050794E-3</v>
      </c>
      <c r="D95" s="716" t="s">
        <v>510</v>
      </c>
      <c r="G95" s="4"/>
      <c r="H95" s="4"/>
      <c r="I95" s="4"/>
      <c r="J95" s="4"/>
      <c r="K95" s="4"/>
      <c r="L95" s="4"/>
      <c r="M95" s="4"/>
      <c r="N95" s="4"/>
      <c r="O95" s="4"/>
      <c r="P95" s="4"/>
      <c r="Q95" s="4"/>
      <c r="R95" s="4"/>
      <c r="S95" s="4"/>
      <c r="T95" s="4"/>
      <c r="U95" s="4"/>
      <c r="V95" s="4"/>
      <c r="W95" s="4"/>
      <c r="X95" s="4"/>
      <c r="Y95" s="4"/>
      <c r="Z95" s="4"/>
      <c r="AA95" s="4"/>
      <c r="AB95" s="4"/>
      <c r="AC95" s="4"/>
      <c r="AD95" s="4"/>
      <c r="AE95" s="4"/>
      <c r="AF95" s="4"/>
      <c r="AG95" s="4"/>
    </row>
    <row r="96" spans="1:33" s="38" customFormat="1" x14ac:dyDescent="0.2">
      <c r="A96" s="57"/>
      <c r="B96" s="717" t="s">
        <v>1022</v>
      </c>
      <c r="C96" s="1377">
        <v>4.2990630878858259E-3</v>
      </c>
      <c r="D96" s="718" t="s">
        <v>510</v>
      </c>
      <c r="G96" s="4"/>
      <c r="H96" s="4"/>
      <c r="I96" s="4"/>
      <c r="J96" s="4"/>
      <c r="K96" s="4"/>
      <c r="L96" s="4"/>
      <c r="M96" s="4"/>
      <c r="N96" s="4"/>
      <c r="O96" s="4"/>
      <c r="P96" s="4"/>
      <c r="Q96" s="4"/>
      <c r="R96" s="4"/>
      <c r="S96" s="4"/>
      <c r="T96" s="4"/>
      <c r="U96" s="4"/>
      <c r="V96" s="4"/>
      <c r="W96" s="4"/>
      <c r="X96" s="4"/>
      <c r="Y96" s="4"/>
      <c r="Z96" s="4"/>
      <c r="AA96" s="4"/>
      <c r="AB96" s="4"/>
      <c r="AC96" s="4"/>
      <c r="AD96" s="4"/>
      <c r="AE96" s="4"/>
      <c r="AF96" s="4"/>
      <c r="AG96" s="4"/>
    </row>
    <row r="97" spans="1:33" s="38" customFormat="1" x14ac:dyDescent="0.2">
      <c r="A97" s="57"/>
      <c r="B97" s="712" t="s">
        <v>1023</v>
      </c>
      <c r="C97" s="1155"/>
      <c r="D97" s="1157"/>
      <c r="G97" s="4"/>
      <c r="H97" s="4"/>
      <c r="I97" s="4"/>
      <c r="J97" s="4"/>
      <c r="K97" s="4"/>
      <c r="L97" s="4"/>
      <c r="M97" s="4"/>
      <c r="N97" s="4"/>
      <c r="O97" s="4"/>
      <c r="P97" s="4"/>
      <c r="Q97" s="4"/>
      <c r="R97" s="4"/>
      <c r="S97" s="4"/>
      <c r="T97" s="4"/>
      <c r="U97" s="4"/>
      <c r="V97" s="4"/>
      <c r="W97" s="4"/>
      <c r="X97" s="4"/>
      <c r="Y97" s="4"/>
      <c r="Z97" s="4"/>
      <c r="AA97" s="4"/>
      <c r="AB97" s="4"/>
      <c r="AC97" s="4"/>
      <c r="AD97" s="4"/>
      <c r="AE97" s="4"/>
      <c r="AF97" s="4"/>
      <c r="AG97" s="4"/>
    </row>
    <row r="98" spans="1:33" s="38" customFormat="1" x14ac:dyDescent="0.2">
      <c r="A98" s="57"/>
      <c r="B98" s="713" t="s">
        <v>1024</v>
      </c>
      <c r="C98" s="1375">
        <v>0.2597407784976733</v>
      </c>
      <c r="D98" s="714" t="s">
        <v>267</v>
      </c>
      <c r="G98" s="4"/>
      <c r="H98" s="4"/>
      <c r="I98" s="4"/>
      <c r="J98" s="4"/>
      <c r="K98" s="4"/>
      <c r="L98" s="4"/>
      <c r="M98" s="4"/>
      <c r="N98" s="4"/>
      <c r="O98" s="4"/>
      <c r="P98" s="4"/>
      <c r="Q98" s="4"/>
      <c r="R98" s="4"/>
      <c r="S98" s="4"/>
      <c r="T98" s="4"/>
      <c r="U98" s="4"/>
      <c r="V98" s="4"/>
      <c r="W98" s="4"/>
      <c r="X98" s="4"/>
      <c r="Y98" s="4"/>
      <c r="Z98" s="4"/>
      <c r="AA98" s="4"/>
      <c r="AB98" s="4"/>
      <c r="AC98" s="4"/>
      <c r="AD98" s="4"/>
      <c r="AE98" s="4"/>
      <c r="AF98" s="4"/>
      <c r="AG98" s="4"/>
    </row>
    <row r="99" spans="1:33" s="38" customFormat="1" x14ac:dyDescent="0.2">
      <c r="A99" s="57"/>
      <c r="B99" s="715" t="s">
        <v>1025</v>
      </c>
      <c r="C99" s="1376">
        <v>1.2702449983916036E-3</v>
      </c>
      <c r="D99" s="716" t="s">
        <v>22</v>
      </c>
      <c r="G99" s="4"/>
      <c r="H99" s="4"/>
      <c r="I99" s="4"/>
      <c r="J99" s="4"/>
      <c r="K99" s="4"/>
      <c r="L99" s="4"/>
      <c r="M99" s="4"/>
      <c r="N99" s="4"/>
      <c r="O99" s="4"/>
      <c r="P99" s="4"/>
      <c r="Q99" s="4"/>
      <c r="R99" s="4"/>
      <c r="S99" s="4"/>
      <c r="T99" s="4"/>
      <c r="U99" s="4"/>
      <c r="V99" s="4"/>
      <c r="W99" s="4"/>
      <c r="X99" s="4"/>
      <c r="Y99" s="4"/>
      <c r="Z99" s="4"/>
      <c r="AA99" s="4"/>
      <c r="AB99" s="4"/>
      <c r="AC99" s="4"/>
      <c r="AD99" s="4"/>
      <c r="AE99" s="4"/>
      <c r="AF99" s="4"/>
      <c r="AG99" s="4"/>
    </row>
    <row r="100" spans="1:33" s="38" customFormat="1" x14ac:dyDescent="0.2">
      <c r="A100" s="57"/>
      <c r="B100" s="715" t="s">
        <v>1198</v>
      </c>
      <c r="C100" s="1376">
        <v>2.4705275204249536E-2</v>
      </c>
      <c r="D100" s="716" t="s">
        <v>22</v>
      </c>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row>
    <row r="101" spans="1:33" s="38" customFormat="1" x14ac:dyDescent="0.2">
      <c r="A101" s="57"/>
      <c r="B101" s="715" t="s">
        <v>1026</v>
      </c>
      <c r="C101" s="1376">
        <v>7.9703819226319085E-4</v>
      </c>
      <c r="D101" s="716" t="s">
        <v>22</v>
      </c>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row>
    <row r="102" spans="1:33" s="38" customFormat="1" x14ac:dyDescent="0.2">
      <c r="A102" s="57"/>
      <c r="B102" s="717" t="s">
        <v>1027</v>
      </c>
      <c r="C102" s="1377">
        <v>2.6100992995474592E-2</v>
      </c>
      <c r="D102" s="718" t="s">
        <v>22</v>
      </c>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row>
    <row r="103" spans="1:33" s="38" customFormat="1" x14ac:dyDescent="0.2">
      <c r="A103" s="57"/>
      <c r="B103" s="712" t="s">
        <v>1028</v>
      </c>
      <c r="C103" s="1155"/>
      <c r="D103" s="1157"/>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row>
    <row r="104" spans="1:33" s="38" customFormat="1" x14ac:dyDescent="0.2">
      <c r="A104" s="57"/>
      <c r="B104" s="713" t="s">
        <v>1029</v>
      </c>
      <c r="C104" s="1375">
        <v>7.4495359228239069E-4</v>
      </c>
      <c r="D104" s="714" t="s">
        <v>510</v>
      </c>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row>
    <row r="105" spans="1:33" s="38" customFormat="1" x14ac:dyDescent="0.2">
      <c r="A105" s="57"/>
      <c r="B105" s="715" t="s">
        <v>1030</v>
      </c>
      <c r="C105" s="1376">
        <v>4.4358089730008304E-3</v>
      </c>
      <c r="D105" s="716" t="s">
        <v>510</v>
      </c>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row>
    <row r="106" spans="1:33" s="38" customFormat="1" x14ac:dyDescent="0.2">
      <c r="A106" s="57"/>
      <c r="B106" s="715" t="s">
        <v>1031</v>
      </c>
      <c r="C106" s="1376">
        <v>5.6646343718579427E-2</v>
      </c>
      <c r="D106" s="716" t="s">
        <v>24</v>
      </c>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row>
    <row r="107" spans="1:33" s="38" customFormat="1" x14ac:dyDescent="0.2">
      <c r="A107" s="57"/>
      <c r="B107" s="715" t="s">
        <v>1032</v>
      </c>
      <c r="C107" s="1376">
        <v>1.9596455295835515E-2</v>
      </c>
      <c r="D107" s="716" t="s">
        <v>24</v>
      </c>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row>
    <row r="108" spans="1:33" s="38" customFormat="1" x14ac:dyDescent="0.2">
      <c r="A108" s="57"/>
      <c r="B108" s="715" t="s">
        <v>1033</v>
      </c>
      <c r="C108" s="1376">
        <v>3.3308999105697767E-3</v>
      </c>
      <c r="D108" s="716" t="s">
        <v>510</v>
      </c>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row>
    <row r="109" spans="1:33" s="38" customFormat="1" x14ac:dyDescent="0.2">
      <c r="A109" s="57"/>
      <c r="B109" s="715" t="s">
        <v>1034</v>
      </c>
      <c r="C109" s="1376">
        <v>5.7538437312108113E-3</v>
      </c>
      <c r="D109" s="716" t="s">
        <v>510</v>
      </c>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row>
    <row r="110" spans="1:33" s="38" customFormat="1" x14ac:dyDescent="0.2">
      <c r="A110" s="57"/>
      <c r="B110" s="715" t="s">
        <v>1035</v>
      </c>
      <c r="C110" s="1376">
        <v>3.2909271269993386E-2</v>
      </c>
      <c r="D110" s="716" t="s">
        <v>510</v>
      </c>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row>
    <row r="111" spans="1:33" s="38" customFormat="1" x14ac:dyDescent="0.2">
      <c r="A111" s="57"/>
      <c r="B111" s="717" t="s">
        <v>1036</v>
      </c>
      <c r="C111" s="1377">
        <v>2.6029353660323461E-2</v>
      </c>
      <c r="D111" s="718" t="s">
        <v>510</v>
      </c>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row>
    <row r="112" spans="1:33" s="38" customFormat="1" x14ac:dyDescent="0.2">
      <c r="A112" s="57"/>
      <c r="B112" s="712" t="s">
        <v>112</v>
      </c>
      <c r="C112" s="1155"/>
      <c r="D112" s="1157"/>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row>
    <row r="113" spans="1:33" s="38" customFormat="1" x14ac:dyDescent="0.2">
      <c r="A113" s="57"/>
      <c r="B113" s="713" t="s">
        <v>1037</v>
      </c>
      <c r="C113" s="1375">
        <v>7.0537878162688908E-5</v>
      </c>
      <c r="D113" s="714" t="s">
        <v>510</v>
      </c>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row>
    <row r="114" spans="1:33" s="38" customFormat="1" x14ac:dyDescent="0.2">
      <c r="A114" s="57"/>
      <c r="B114" s="715" t="s">
        <v>1038</v>
      </c>
      <c r="C114" s="1376">
        <v>1.4327816504676138E-4</v>
      </c>
      <c r="D114" s="716" t="s">
        <v>510</v>
      </c>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row>
    <row r="115" spans="1:33" s="38" customFormat="1" x14ac:dyDescent="0.2">
      <c r="A115" s="57"/>
      <c r="B115" s="715" t="s">
        <v>1039</v>
      </c>
      <c r="C115" s="1376">
        <v>4.5104259472277474E-4</v>
      </c>
      <c r="D115" s="716" t="s">
        <v>510</v>
      </c>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row>
    <row r="116" spans="1:33" s="38" customFormat="1" x14ac:dyDescent="0.2">
      <c r="A116" s="57"/>
      <c r="B116" s="715" t="s">
        <v>1040</v>
      </c>
      <c r="C116" s="1376">
        <v>7.8181080202573768E-4</v>
      </c>
      <c r="D116" s="716" t="s">
        <v>510</v>
      </c>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row>
    <row r="117" spans="1:33" s="38" customFormat="1" x14ac:dyDescent="0.2">
      <c r="A117" s="57"/>
      <c r="B117" s="715" t="s">
        <v>1041</v>
      </c>
      <c r="C117" s="1376">
        <v>3.3161935566450362E-2</v>
      </c>
      <c r="D117" s="716" t="s">
        <v>510</v>
      </c>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row>
    <row r="118" spans="1:33" s="38" customFormat="1" x14ac:dyDescent="0.2">
      <c r="A118" s="57"/>
      <c r="B118" s="715" t="s">
        <v>1042</v>
      </c>
      <c r="C118" s="1376">
        <v>1.1316675620916905E-3</v>
      </c>
      <c r="D118" s="716" t="s">
        <v>510</v>
      </c>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row>
    <row r="119" spans="1:33" s="38" customFormat="1" x14ac:dyDescent="0.2">
      <c r="A119" s="57"/>
      <c r="B119" s="715" t="s">
        <v>1156</v>
      </c>
      <c r="C119" s="1376">
        <v>1.4175665547806432E-3</v>
      </c>
      <c r="D119" s="716" t="s">
        <v>510</v>
      </c>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row>
    <row r="120" spans="1:33" s="38" customFormat="1" x14ac:dyDescent="0.2">
      <c r="A120" s="57"/>
      <c r="B120" s="717" t="s">
        <v>1043</v>
      </c>
      <c r="C120" s="1377">
        <v>1.7103851899508051E-3</v>
      </c>
      <c r="D120" s="718" t="s">
        <v>510</v>
      </c>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row>
    <row r="121" spans="1:33" s="38" customFormat="1" x14ac:dyDescent="0.2">
      <c r="A121" s="57"/>
      <c r="B121" s="712" t="s">
        <v>1044</v>
      </c>
      <c r="C121" s="1155"/>
      <c r="D121" s="1157"/>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row>
    <row r="122" spans="1:33" s="38" customFormat="1" x14ac:dyDescent="0.2">
      <c r="A122" s="57"/>
      <c r="B122" s="713" t="s">
        <v>1045</v>
      </c>
      <c r="C122" s="1375">
        <v>2.0734109293501233E-3</v>
      </c>
      <c r="D122" s="714" t="s">
        <v>510</v>
      </c>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row>
    <row r="123" spans="1:33" s="38" customFormat="1" x14ac:dyDescent="0.2">
      <c r="A123" s="57"/>
      <c r="B123" s="715" t="s">
        <v>1046</v>
      </c>
      <c r="C123" s="1376">
        <v>7.0782573400992657E-3</v>
      </c>
      <c r="D123" s="716" t="s">
        <v>510</v>
      </c>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row>
    <row r="124" spans="1:33" s="38" customFormat="1" x14ac:dyDescent="0.2">
      <c r="A124" s="57"/>
      <c r="B124" s="717" t="s">
        <v>1047</v>
      </c>
      <c r="C124" s="1377">
        <v>1.5465102844756879E-3</v>
      </c>
      <c r="D124" s="718" t="s">
        <v>510</v>
      </c>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row>
    <row r="125" spans="1:33" s="38" customFormat="1" x14ac:dyDescent="0.2">
      <c r="A125" s="57"/>
      <c r="B125" s="712" t="s">
        <v>1048</v>
      </c>
      <c r="C125" s="1155"/>
      <c r="D125" s="1157"/>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row>
    <row r="126" spans="1:33" s="38" customFormat="1" x14ac:dyDescent="0.2">
      <c r="A126" s="57"/>
      <c r="B126" s="713" t="s">
        <v>1049</v>
      </c>
      <c r="C126" s="1375">
        <v>7.1089799059887923E-3</v>
      </c>
      <c r="D126" s="714" t="s">
        <v>510</v>
      </c>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row>
    <row r="127" spans="1:33" s="38" customFormat="1" x14ac:dyDescent="0.2">
      <c r="A127" s="57"/>
      <c r="B127" s="715" t="s">
        <v>1050</v>
      </c>
      <c r="C127" s="1376">
        <v>5.8358097308840798E-2</v>
      </c>
      <c r="D127" s="716" t="s">
        <v>25</v>
      </c>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row>
    <row r="128" spans="1:33" s="38" customFormat="1" x14ac:dyDescent="0.2">
      <c r="A128" s="57"/>
      <c r="B128" s="715" t="s">
        <v>1051</v>
      </c>
      <c r="C128" s="1376">
        <v>8.6357111218524681E-3</v>
      </c>
      <c r="D128" s="716" t="s">
        <v>510</v>
      </c>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row>
    <row r="129" spans="1:40" s="38" customFormat="1" x14ac:dyDescent="0.2">
      <c r="A129" s="57"/>
      <c r="B129" s="715" t="s">
        <v>1052</v>
      </c>
      <c r="C129" s="1376">
        <v>7.1759097546310877E-4</v>
      </c>
      <c r="D129" s="716" t="s">
        <v>510</v>
      </c>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row>
    <row r="130" spans="1:40" s="38" customFormat="1" x14ac:dyDescent="0.2">
      <c r="A130" s="57"/>
      <c r="B130" s="715" t="s">
        <v>1053</v>
      </c>
      <c r="C130" s="1376">
        <v>7.845284029378923E-4</v>
      </c>
      <c r="D130" s="716" t="s">
        <v>267</v>
      </c>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row>
    <row r="131" spans="1:40" s="38" customFormat="1" x14ac:dyDescent="0.2">
      <c r="A131" s="57"/>
      <c r="B131" s="717" t="s">
        <v>1054</v>
      </c>
      <c r="C131" s="1377">
        <v>9.546093953944278E-3</v>
      </c>
      <c r="D131" s="718" t="s">
        <v>510</v>
      </c>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row>
    <row r="132" spans="1:40" s="38" customFormat="1" ht="13.5" thickBot="1" x14ac:dyDescent="0.25">
      <c r="A132" s="57"/>
      <c r="B132" s="724" t="s">
        <v>561</v>
      </c>
      <c r="C132" s="1378">
        <v>0.99900984220870759</v>
      </c>
      <c r="D132" s="1158"/>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row>
    <row r="133" spans="1:40" s="38" customFormat="1" ht="69" customHeight="1" thickBot="1" x14ac:dyDescent="0.25">
      <c r="A133" s="57"/>
      <c r="B133" s="2378" t="s">
        <v>1199</v>
      </c>
      <c r="C133" s="2181"/>
      <c r="D133" s="685" t="s">
        <v>1153</v>
      </c>
      <c r="E133" s="117"/>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row>
    <row r="134" spans="1:40" s="38" customFormat="1" x14ac:dyDescent="0.2">
      <c r="A134" s="57"/>
      <c r="B134" s="47"/>
      <c r="C134" s="47"/>
      <c r="D134" s="47"/>
      <c r="E134" s="47"/>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row>
    <row r="135" spans="1:40" s="38" customFormat="1" x14ac:dyDescent="0.2">
      <c r="A135" s="57"/>
      <c r="B135" s="47"/>
      <c r="C135" s="47"/>
      <c r="D135" s="47"/>
      <c r="E135" s="47"/>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row>
    <row r="136" spans="1:40" s="38" customFormat="1" ht="24.75" customHeight="1" x14ac:dyDescent="0.2">
      <c r="A136" s="57"/>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row>
    <row r="137" spans="1:40" s="38" customFormat="1" x14ac:dyDescent="0.2">
      <c r="A137" s="57"/>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row>
    <row r="138" spans="1:40" s="38" customFormat="1" x14ac:dyDescent="0.2">
      <c r="A138" s="57"/>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row>
    <row r="139" spans="1:40" s="38" customFormat="1" x14ac:dyDescent="0.2">
      <c r="A139" s="57"/>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row>
    <row r="140" spans="1:40" s="38" customFormat="1" ht="88.5" customHeight="1" x14ac:dyDescent="0.2">
      <c r="A140" s="57"/>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row>
    <row r="141" spans="1:40" s="38" customFormat="1" x14ac:dyDescent="0.2">
      <c r="A141" s="57"/>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row>
    <row r="142" spans="1:40" s="38" customFormat="1" x14ac:dyDescent="0.2">
      <c r="A142" s="57"/>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row>
    <row r="143" spans="1:40" s="38" customFormat="1" x14ac:dyDescent="0.2">
      <c r="A143" s="57"/>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row>
    <row r="144" spans="1:40" s="38" customFormat="1" x14ac:dyDescent="0.2">
      <c r="A144" s="57"/>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row>
    <row r="145" spans="1:40" s="38" customFormat="1" x14ac:dyDescent="0.2">
      <c r="A145" s="57"/>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row>
    <row r="146" spans="1:40" s="38" customFormat="1" x14ac:dyDescent="0.2">
      <c r="A146" s="57"/>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row>
    <row r="147" spans="1:40" s="38" customFormat="1" x14ac:dyDescent="0.2">
      <c r="A147" s="57"/>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row>
    <row r="148" spans="1:40" s="38" customFormat="1" x14ac:dyDescent="0.2">
      <c r="A148" s="57"/>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row>
    <row r="149" spans="1:40" s="38" customFormat="1" x14ac:dyDescent="0.2">
      <c r="A149" s="57"/>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row>
    <row r="150" spans="1:40" s="38" customFormat="1" x14ac:dyDescent="0.2">
      <c r="A150" s="57"/>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row>
    <row r="151" spans="1:40" s="38" customFormat="1" x14ac:dyDescent="0.2">
      <c r="A151" s="57"/>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row>
    <row r="152" spans="1:40" s="38" customFormat="1" x14ac:dyDescent="0.2">
      <c r="A152" s="57"/>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row>
    <row r="153" spans="1:40" s="38" customFormat="1" x14ac:dyDescent="0.2">
      <c r="A153" s="57"/>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row>
    <row r="154" spans="1:40" s="38" customFormat="1" x14ac:dyDescent="0.2">
      <c r="A154" s="57"/>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row>
    <row r="155" spans="1:40" s="38" customFormat="1" x14ac:dyDescent="0.2">
      <c r="A155" s="57"/>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row>
    <row r="156" spans="1:40" s="38" customFormat="1" x14ac:dyDescent="0.2">
      <c r="A156" s="57"/>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row>
    <row r="157" spans="1:40" s="38" customFormat="1" x14ac:dyDescent="0.2">
      <c r="A157" s="57"/>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row>
    <row r="158" spans="1:40" s="38" customFormat="1" x14ac:dyDescent="0.2">
      <c r="A158" s="57"/>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row>
    <row r="159" spans="1:40" s="38" customFormat="1" x14ac:dyDescent="0.2">
      <c r="A159" s="57"/>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row>
    <row r="160" spans="1:40" s="38" customFormat="1" x14ac:dyDescent="0.2">
      <c r="A160" s="57"/>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row>
    <row r="161" spans="1:40" s="38" customFormat="1" x14ac:dyDescent="0.2">
      <c r="A161" s="57"/>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row>
    <row r="162" spans="1:40" s="38" customFormat="1" x14ac:dyDescent="0.2">
      <c r="A162" s="57"/>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row>
    <row r="163" spans="1:40" s="38" customFormat="1" x14ac:dyDescent="0.2">
      <c r="A163" s="57"/>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row>
    <row r="164" spans="1:40" s="38" customFormat="1" x14ac:dyDescent="0.2">
      <c r="A164" s="57"/>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row>
    <row r="165" spans="1:40" s="38" customFormat="1" x14ac:dyDescent="0.2">
      <c r="A165" s="57"/>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row>
    <row r="166" spans="1:40" s="38" customFormat="1" x14ac:dyDescent="0.2">
      <c r="A166" s="57"/>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row>
    <row r="167" spans="1:40" s="38" customFormat="1" x14ac:dyDescent="0.2">
      <c r="A167" s="57"/>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row>
    <row r="168" spans="1:40" s="38" customFormat="1" x14ac:dyDescent="0.2">
      <c r="A168" s="57"/>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row>
    <row r="169" spans="1:40" s="38" customFormat="1" x14ac:dyDescent="0.2">
      <c r="A169" s="57"/>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row>
    <row r="170" spans="1:40" s="38" customFormat="1" x14ac:dyDescent="0.2">
      <c r="A170" s="57"/>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row>
    <row r="171" spans="1:40" s="38" customFormat="1" x14ac:dyDescent="0.2">
      <c r="A171" s="57"/>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row>
    <row r="172" spans="1:40" s="38" customFormat="1" x14ac:dyDescent="0.2">
      <c r="A172" s="57"/>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row>
    <row r="173" spans="1:40" s="38" customFormat="1" x14ac:dyDescent="0.2">
      <c r="A173" s="57"/>
    </row>
    <row r="174" spans="1:40" s="38" customFormat="1" x14ac:dyDescent="0.2">
      <c r="A174" s="57"/>
    </row>
    <row r="175" spans="1:40" s="38" customFormat="1" x14ac:dyDescent="0.2">
      <c r="A175" s="57"/>
    </row>
    <row r="176" spans="1:40" s="38" customFormat="1" x14ac:dyDescent="0.2">
      <c r="A176" s="57"/>
    </row>
    <row r="177" spans="1:1" s="38" customFormat="1" x14ac:dyDescent="0.2">
      <c r="A177" s="57"/>
    </row>
    <row r="178" spans="1:1" s="38" customFormat="1" x14ac:dyDescent="0.2">
      <c r="A178" s="57"/>
    </row>
    <row r="179" spans="1:1" s="38" customFormat="1" x14ac:dyDescent="0.2">
      <c r="A179" s="57"/>
    </row>
    <row r="180" spans="1:1" s="38" customFormat="1" x14ac:dyDescent="0.2">
      <c r="A180" s="57"/>
    </row>
    <row r="181" spans="1:1" s="38" customFormat="1" x14ac:dyDescent="0.2">
      <c r="A181" s="57"/>
    </row>
    <row r="182" spans="1:1" s="38" customFormat="1" x14ac:dyDescent="0.2">
      <c r="A182" s="57"/>
    </row>
    <row r="183" spans="1:1" s="38" customFormat="1" x14ac:dyDescent="0.2">
      <c r="A183" s="57"/>
    </row>
    <row r="184" spans="1:1" s="38" customFormat="1" x14ac:dyDescent="0.2">
      <c r="A184" s="57"/>
    </row>
    <row r="185" spans="1:1" s="38" customFormat="1" x14ac:dyDescent="0.2">
      <c r="A185" s="57"/>
    </row>
    <row r="186" spans="1:1" s="38" customFormat="1" x14ac:dyDescent="0.2">
      <c r="A186" s="57"/>
    </row>
    <row r="187" spans="1:1" s="38" customFormat="1" x14ac:dyDescent="0.2">
      <c r="A187" s="57"/>
    </row>
    <row r="188" spans="1:1" s="38" customFormat="1" x14ac:dyDescent="0.2">
      <c r="A188" s="57"/>
    </row>
    <row r="189" spans="1:1" s="38" customFormat="1" x14ac:dyDescent="0.2">
      <c r="A189" s="57"/>
    </row>
    <row r="190" spans="1:1" s="38" customFormat="1" x14ac:dyDescent="0.2">
      <c r="A190" s="57"/>
    </row>
    <row r="191" spans="1:1" s="38" customFormat="1" x14ac:dyDescent="0.2">
      <c r="A191" s="57"/>
    </row>
    <row r="192" spans="1:1" s="38" customFormat="1" x14ac:dyDescent="0.2">
      <c r="A192" s="57"/>
    </row>
    <row r="193" spans="1:1" s="38" customFormat="1" x14ac:dyDescent="0.2">
      <c r="A193" s="57"/>
    </row>
    <row r="194" spans="1:1" s="38" customFormat="1" x14ac:dyDescent="0.2">
      <c r="A194" s="57"/>
    </row>
    <row r="195" spans="1:1" s="38" customFormat="1" x14ac:dyDescent="0.2">
      <c r="A195" s="57"/>
    </row>
    <row r="196" spans="1:1" s="38" customFormat="1" x14ac:dyDescent="0.2">
      <c r="A196" s="57"/>
    </row>
    <row r="197" spans="1:1" s="38" customFormat="1" x14ac:dyDescent="0.2">
      <c r="A197" s="57"/>
    </row>
    <row r="198" spans="1:1" s="38" customFormat="1" x14ac:dyDescent="0.2">
      <c r="A198" s="57"/>
    </row>
    <row r="199" spans="1:1" s="38" customFormat="1" x14ac:dyDescent="0.2">
      <c r="A199" s="57"/>
    </row>
    <row r="200" spans="1:1" s="38" customFormat="1" x14ac:dyDescent="0.2">
      <c r="A200" s="57"/>
    </row>
    <row r="201" spans="1:1" s="38" customFormat="1" x14ac:dyDescent="0.2">
      <c r="A201" s="57"/>
    </row>
    <row r="202" spans="1:1" s="38" customFormat="1" x14ac:dyDescent="0.2">
      <c r="A202" s="57"/>
    </row>
    <row r="203" spans="1:1" s="38" customFormat="1" x14ac:dyDescent="0.2">
      <c r="A203" s="57"/>
    </row>
    <row r="204" spans="1:1" s="38" customFormat="1" x14ac:dyDescent="0.2">
      <c r="A204" s="57"/>
    </row>
    <row r="205" spans="1:1" s="38" customFormat="1" x14ac:dyDescent="0.2">
      <c r="A205" s="57"/>
    </row>
    <row r="206" spans="1:1" s="38" customFormat="1" x14ac:dyDescent="0.2">
      <c r="A206" s="57"/>
    </row>
    <row r="207" spans="1:1" s="38" customFormat="1" x14ac:dyDescent="0.2">
      <c r="A207" s="57"/>
    </row>
    <row r="208" spans="1:1" s="38" customFormat="1" x14ac:dyDescent="0.2">
      <c r="A208" s="57"/>
    </row>
    <row r="209" spans="1:1" s="38" customFormat="1" x14ac:dyDescent="0.2">
      <c r="A209" s="57"/>
    </row>
    <row r="210" spans="1:1" s="38" customFormat="1" x14ac:dyDescent="0.2">
      <c r="A210" s="57"/>
    </row>
    <row r="211" spans="1:1" s="38" customFormat="1" x14ac:dyDescent="0.2">
      <c r="A211" s="57"/>
    </row>
    <row r="212" spans="1:1" s="38" customFormat="1" x14ac:dyDescent="0.2">
      <c r="A212" s="57"/>
    </row>
    <row r="213" spans="1:1" s="38" customFormat="1" x14ac:dyDescent="0.2">
      <c r="A213" s="57"/>
    </row>
    <row r="214" spans="1:1" s="38" customFormat="1" x14ac:dyDescent="0.2">
      <c r="A214" s="57"/>
    </row>
    <row r="215" spans="1:1" s="38" customFormat="1" x14ac:dyDescent="0.2">
      <c r="A215" s="57"/>
    </row>
    <row r="216" spans="1:1" s="38" customFormat="1" x14ac:dyDescent="0.2">
      <c r="A216" s="57"/>
    </row>
    <row r="217" spans="1:1" s="38" customFormat="1" x14ac:dyDescent="0.2">
      <c r="A217" s="57"/>
    </row>
    <row r="218" spans="1:1" s="38" customFormat="1" x14ac:dyDescent="0.2">
      <c r="A218" s="57"/>
    </row>
    <row r="219" spans="1:1" s="38" customFormat="1" x14ac:dyDescent="0.2">
      <c r="A219" s="57"/>
    </row>
    <row r="220" spans="1:1" s="38" customFormat="1" x14ac:dyDescent="0.2">
      <c r="A220" s="57"/>
    </row>
    <row r="221" spans="1:1" s="38" customFormat="1" x14ac:dyDescent="0.2">
      <c r="A221" s="57"/>
    </row>
    <row r="222" spans="1:1" s="38" customFormat="1" x14ac:dyDescent="0.2">
      <c r="A222" s="57"/>
    </row>
    <row r="223" spans="1:1" s="38" customFormat="1" x14ac:dyDescent="0.2">
      <c r="A223" s="57"/>
    </row>
    <row r="224" spans="1:1" s="38" customFormat="1" x14ac:dyDescent="0.2">
      <c r="A224" s="57"/>
    </row>
    <row r="225" spans="1:1" s="38" customFormat="1" x14ac:dyDescent="0.2">
      <c r="A225" s="57"/>
    </row>
    <row r="226" spans="1:1" s="38" customFormat="1" x14ac:dyDescent="0.2">
      <c r="A226" s="57"/>
    </row>
    <row r="227" spans="1:1" s="38" customFormat="1" x14ac:dyDescent="0.2">
      <c r="A227" s="57"/>
    </row>
    <row r="228" spans="1:1" s="38" customFormat="1" x14ac:dyDescent="0.2">
      <c r="A228" s="57"/>
    </row>
    <row r="229" spans="1:1" s="38" customFormat="1" x14ac:dyDescent="0.2">
      <c r="A229" s="57"/>
    </row>
    <row r="230" spans="1:1" s="38" customFormat="1" x14ac:dyDescent="0.2">
      <c r="A230" s="57"/>
    </row>
    <row r="231" spans="1:1" s="38" customFormat="1" x14ac:dyDescent="0.2">
      <c r="A231" s="57"/>
    </row>
    <row r="232" spans="1:1" s="38" customFormat="1" x14ac:dyDescent="0.2">
      <c r="A232" s="57"/>
    </row>
    <row r="233" spans="1:1" s="38" customFormat="1" x14ac:dyDescent="0.2">
      <c r="A233" s="57"/>
    </row>
    <row r="234" spans="1:1" s="38" customFormat="1" x14ac:dyDescent="0.2">
      <c r="A234" s="57"/>
    </row>
    <row r="235" spans="1:1" s="38" customFormat="1" x14ac:dyDescent="0.2">
      <c r="A235" s="57"/>
    </row>
    <row r="236" spans="1:1" s="38" customFormat="1" x14ac:dyDescent="0.2">
      <c r="A236" s="57"/>
    </row>
    <row r="237" spans="1:1" s="38" customFormat="1" x14ac:dyDescent="0.2">
      <c r="A237" s="57"/>
    </row>
    <row r="238" spans="1:1" s="38" customFormat="1" x14ac:dyDescent="0.2">
      <c r="A238" s="57"/>
    </row>
    <row r="239" spans="1:1" s="38" customFormat="1" x14ac:dyDescent="0.2">
      <c r="A239" s="57"/>
    </row>
    <row r="240" spans="1:1" s="38" customFormat="1" x14ac:dyDescent="0.2">
      <c r="A240" s="57"/>
    </row>
    <row r="241" spans="1:1" s="38" customFormat="1" x14ac:dyDescent="0.2">
      <c r="A241" s="57"/>
    </row>
    <row r="242" spans="1:1" s="38" customFormat="1" x14ac:dyDescent="0.2">
      <c r="A242" s="57"/>
    </row>
    <row r="243" spans="1:1" s="38" customFormat="1" x14ac:dyDescent="0.2">
      <c r="A243" s="57"/>
    </row>
    <row r="244" spans="1:1" s="38" customFormat="1" x14ac:dyDescent="0.2">
      <c r="A244" s="57"/>
    </row>
    <row r="245" spans="1:1" s="38" customFormat="1" x14ac:dyDescent="0.2">
      <c r="A245" s="57"/>
    </row>
    <row r="246" spans="1:1" s="38" customFormat="1" x14ac:dyDescent="0.2">
      <c r="A246" s="57"/>
    </row>
    <row r="247" spans="1:1" s="38" customFormat="1" x14ac:dyDescent="0.2">
      <c r="A247" s="57"/>
    </row>
    <row r="248" spans="1:1" s="38" customFormat="1" x14ac:dyDescent="0.2">
      <c r="A248" s="57"/>
    </row>
    <row r="249" spans="1:1" s="38" customFormat="1" x14ac:dyDescent="0.2">
      <c r="A249" s="57"/>
    </row>
    <row r="250" spans="1:1" s="38" customFormat="1" x14ac:dyDescent="0.2">
      <c r="A250" s="57"/>
    </row>
    <row r="251" spans="1:1" s="38" customFormat="1" x14ac:dyDescent="0.2">
      <c r="A251" s="57"/>
    </row>
    <row r="252" spans="1:1" s="38" customFormat="1" x14ac:dyDescent="0.2">
      <c r="A252" s="57"/>
    </row>
    <row r="253" spans="1:1" s="38" customFormat="1" x14ac:dyDescent="0.2">
      <c r="A253" s="57"/>
    </row>
    <row r="254" spans="1:1" s="38" customFormat="1" x14ac:dyDescent="0.2">
      <c r="A254" s="57"/>
    </row>
    <row r="255" spans="1:1" s="38" customFormat="1" x14ac:dyDescent="0.2">
      <c r="A255" s="57"/>
    </row>
    <row r="256" spans="1:1" s="38" customFormat="1" x14ac:dyDescent="0.2">
      <c r="A256" s="57"/>
    </row>
    <row r="257" spans="1:1" s="38" customFormat="1" x14ac:dyDescent="0.2">
      <c r="A257" s="57"/>
    </row>
    <row r="258" spans="1:1" s="38" customFormat="1" x14ac:dyDescent="0.2">
      <c r="A258" s="57"/>
    </row>
    <row r="259" spans="1:1" s="38" customFormat="1" x14ac:dyDescent="0.2">
      <c r="A259" s="57"/>
    </row>
    <row r="260" spans="1:1" s="38" customFormat="1" x14ac:dyDescent="0.2">
      <c r="A260" s="57"/>
    </row>
    <row r="261" spans="1:1" s="38" customFormat="1" x14ac:dyDescent="0.2">
      <c r="A261" s="57"/>
    </row>
    <row r="262" spans="1:1" s="38" customFormat="1" x14ac:dyDescent="0.2">
      <c r="A262" s="57"/>
    </row>
    <row r="263" spans="1:1" s="38" customFormat="1" x14ac:dyDescent="0.2">
      <c r="A263" s="57"/>
    </row>
    <row r="264" spans="1:1" s="38" customFormat="1" x14ac:dyDescent="0.2">
      <c r="A264" s="57"/>
    </row>
    <row r="265" spans="1:1" s="38" customFormat="1" x14ac:dyDescent="0.2">
      <c r="A265" s="57"/>
    </row>
    <row r="266" spans="1:1" s="38" customFormat="1" x14ac:dyDescent="0.2">
      <c r="A266" s="57"/>
    </row>
    <row r="267" spans="1:1" s="38" customFormat="1" x14ac:dyDescent="0.2">
      <c r="A267" s="57"/>
    </row>
    <row r="268" spans="1:1" s="38" customFormat="1" x14ac:dyDescent="0.2">
      <c r="A268" s="57"/>
    </row>
    <row r="269" spans="1:1" s="38" customFormat="1" x14ac:dyDescent="0.2">
      <c r="A269" s="57"/>
    </row>
    <row r="270" spans="1:1" s="38" customFormat="1" x14ac:dyDescent="0.2">
      <c r="A270" s="57"/>
    </row>
    <row r="271" spans="1:1" s="38" customFormat="1" x14ac:dyDescent="0.2">
      <c r="A271" s="57"/>
    </row>
    <row r="272" spans="1:1" s="38" customFormat="1" x14ac:dyDescent="0.2">
      <c r="A272" s="57"/>
    </row>
    <row r="273" spans="1:1" s="38" customFormat="1" x14ac:dyDescent="0.2">
      <c r="A273" s="57"/>
    </row>
    <row r="274" spans="1:1" s="38" customFormat="1" x14ac:dyDescent="0.2">
      <c r="A274" s="57"/>
    </row>
    <row r="275" spans="1:1" s="38" customFormat="1" x14ac:dyDescent="0.2">
      <c r="A275" s="57"/>
    </row>
    <row r="276" spans="1:1" s="38" customFormat="1" x14ac:dyDescent="0.2">
      <c r="A276" s="57"/>
    </row>
    <row r="277" spans="1:1" s="38" customFormat="1" x14ac:dyDescent="0.2">
      <c r="A277" s="57"/>
    </row>
    <row r="278" spans="1:1" s="38" customFormat="1" x14ac:dyDescent="0.2">
      <c r="A278" s="57"/>
    </row>
    <row r="279" spans="1:1" s="38" customFormat="1" x14ac:dyDescent="0.2">
      <c r="A279" s="57"/>
    </row>
    <row r="280" spans="1:1" s="38" customFormat="1" x14ac:dyDescent="0.2">
      <c r="A280" s="57"/>
    </row>
    <row r="281" spans="1:1" s="38" customFormat="1" x14ac:dyDescent="0.2">
      <c r="A281" s="57"/>
    </row>
    <row r="282" spans="1:1" s="38" customFormat="1" x14ac:dyDescent="0.2">
      <c r="A282" s="57"/>
    </row>
    <row r="283" spans="1:1" s="38" customFormat="1" x14ac:dyDescent="0.2">
      <c r="A283" s="57"/>
    </row>
    <row r="284" spans="1:1" s="38" customFormat="1" x14ac:dyDescent="0.2">
      <c r="A284" s="57"/>
    </row>
    <row r="285" spans="1:1" s="38" customFormat="1" x14ac:dyDescent="0.2">
      <c r="A285" s="57"/>
    </row>
    <row r="286" spans="1:1" s="38" customFormat="1" x14ac:dyDescent="0.2">
      <c r="A286" s="57"/>
    </row>
    <row r="287" spans="1:1" s="38" customFormat="1" x14ac:dyDescent="0.2">
      <c r="A287" s="57"/>
    </row>
    <row r="288" spans="1:1" s="38" customFormat="1" x14ac:dyDescent="0.2">
      <c r="A288" s="57"/>
    </row>
    <row r="289" spans="1:1" s="38" customFormat="1" x14ac:dyDescent="0.2">
      <c r="A289" s="57"/>
    </row>
    <row r="290" spans="1:1" s="38" customFormat="1" x14ac:dyDescent="0.2">
      <c r="A290" s="57"/>
    </row>
    <row r="291" spans="1:1" s="38" customFormat="1" x14ac:dyDescent="0.2">
      <c r="A291" s="57"/>
    </row>
    <row r="292" spans="1:1" s="38" customFormat="1" x14ac:dyDescent="0.2">
      <c r="A292" s="57"/>
    </row>
    <row r="293" spans="1:1" s="38" customFormat="1" x14ac:dyDescent="0.2">
      <c r="A293" s="57"/>
    </row>
    <row r="294" spans="1:1" s="38" customFormat="1" x14ac:dyDescent="0.2">
      <c r="A294" s="57"/>
    </row>
    <row r="295" spans="1:1" s="38" customFormat="1" x14ac:dyDescent="0.2">
      <c r="A295" s="57"/>
    </row>
    <row r="296" spans="1:1" s="38" customFormat="1" x14ac:dyDescent="0.2">
      <c r="A296" s="57"/>
    </row>
    <row r="297" spans="1:1" s="38" customFormat="1" x14ac:dyDescent="0.2">
      <c r="A297" s="57"/>
    </row>
    <row r="298" spans="1:1" s="38" customFormat="1" x14ac:dyDescent="0.2">
      <c r="A298" s="57"/>
    </row>
    <row r="299" spans="1:1" s="38" customFormat="1" x14ac:dyDescent="0.2">
      <c r="A299" s="57"/>
    </row>
    <row r="300" spans="1:1" s="38" customFormat="1" x14ac:dyDescent="0.2">
      <c r="A300" s="57"/>
    </row>
    <row r="301" spans="1:1" s="38" customFormat="1" x14ac:dyDescent="0.2">
      <c r="A301" s="57"/>
    </row>
    <row r="302" spans="1:1" s="38" customFormat="1" x14ac:dyDescent="0.2">
      <c r="A302" s="57"/>
    </row>
    <row r="303" spans="1:1" s="38" customFormat="1" x14ac:dyDescent="0.2">
      <c r="A303" s="57"/>
    </row>
    <row r="304" spans="1:1" s="38" customFormat="1" x14ac:dyDescent="0.2">
      <c r="A304" s="57"/>
    </row>
    <row r="305" spans="1:1" s="38" customFormat="1" x14ac:dyDescent="0.2">
      <c r="A305" s="57"/>
    </row>
    <row r="306" spans="1:1" s="38" customFormat="1" x14ac:dyDescent="0.2">
      <c r="A306" s="57"/>
    </row>
    <row r="307" spans="1:1" s="38" customFormat="1" x14ac:dyDescent="0.2">
      <c r="A307" s="57"/>
    </row>
    <row r="308" spans="1:1" s="38" customFormat="1" x14ac:dyDescent="0.2">
      <c r="A308" s="57"/>
    </row>
    <row r="309" spans="1:1" s="38" customFormat="1" x14ac:dyDescent="0.2">
      <c r="A309" s="57"/>
    </row>
    <row r="310" spans="1:1" s="38" customFormat="1" x14ac:dyDescent="0.2">
      <c r="A310" s="57"/>
    </row>
    <row r="311" spans="1:1" s="38" customFormat="1" x14ac:dyDescent="0.2">
      <c r="A311" s="57"/>
    </row>
    <row r="312" spans="1:1" s="38" customFormat="1" x14ac:dyDescent="0.2">
      <c r="A312" s="57"/>
    </row>
    <row r="313" spans="1:1" s="38" customFormat="1" x14ac:dyDescent="0.2">
      <c r="A313" s="57"/>
    </row>
    <row r="314" spans="1:1" s="38" customFormat="1" x14ac:dyDescent="0.2">
      <c r="A314" s="57"/>
    </row>
    <row r="315" spans="1:1" s="38" customFormat="1" x14ac:dyDescent="0.2">
      <c r="A315" s="57"/>
    </row>
    <row r="316" spans="1:1" s="38" customFormat="1" x14ac:dyDescent="0.2">
      <c r="A316" s="57"/>
    </row>
    <row r="317" spans="1:1" s="38" customFormat="1" x14ac:dyDescent="0.2">
      <c r="A317" s="57"/>
    </row>
    <row r="318" spans="1:1" s="38" customFormat="1" x14ac:dyDescent="0.2">
      <c r="A318" s="57"/>
    </row>
    <row r="319" spans="1:1" s="38" customFormat="1" x14ac:dyDescent="0.2">
      <c r="A319" s="57"/>
    </row>
    <row r="320" spans="1:1" s="38" customFormat="1" x14ac:dyDescent="0.2">
      <c r="A320" s="57"/>
    </row>
    <row r="321" spans="1:1" s="38" customFormat="1" x14ac:dyDescent="0.2">
      <c r="A321" s="57"/>
    </row>
    <row r="322" spans="1:1" s="38" customFormat="1" x14ac:dyDescent="0.2">
      <c r="A322" s="57"/>
    </row>
    <row r="323" spans="1:1" s="38" customFormat="1" x14ac:dyDescent="0.2">
      <c r="A323" s="57"/>
    </row>
    <row r="324" spans="1:1" s="38" customFormat="1" x14ac:dyDescent="0.2">
      <c r="A324" s="57"/>
    </row>
    <row r="325" spans="1:1" s="38" customFormat="1" x14ac:dyDescent="0.2">
      <c r="A325" s="57"/>
    </row>
    <row r="326" spans="1:1" s="38" customFormat="1" x14ac:dyDescent="0.2">
      <c r="A326" s="57"/>
    </row>
    <row r="327" spans="1:1" s="38" customFormat="1" x14ac:dyDescent="0.2">
      <c r="A327" s="57"/>
    </row>
    <row r="328" spans="1:1" s="38" customFormat="1" x14ac:dyDescent="0.2">
      <c r="A328" s="57"/>
    </row>
    <row r="329" spans="1:1" s="38" customFormat="1" x14ac:dyDescent="0.2">
      <c r="A329" s="57"/>
    </row>
    <row r="330" spans="1:1" s="38" customFormat="1" x14ac:dyDescent="0.2">
      <c r="A330" s="57"/>
    </row>
    <row r="331" spans="1:1" s="38" customFormat="1" x14ac:dyDescent="0.2">
      <c r="A331" s="57"/>
    </row>
    <row r="332" spans="1:1" s="38" customFormat="1" x14ac:dyDescent="0.2">
      <c r="A332" s="57"/>
    </row>
    <row r="333" spans="1:1" s="38" customFormat="1" x14ac:dyDescent="0.2">
      <c r="A333" s="57"/>
    </row>
    <row r="334" spans="1:1" s="38" customFormat="1" x14ac:dyDescent="0.2">
      <c r="A334" s="57"/>
    </row>
    <row r="335" spans="1:1" s="38" customFormat="1" x14ac:dyDescent="0.2">
      <c r="A335" s="57"/>
    </row>
    <row r="336" spans="1:1" s="38" customFormat="1" x14ac:dyDescent="0.2">
      <c r="A336" s="57"/>
    </row>
    <row r="337" spans="1:1" s="38" customFormat="1" x14ac:dyDescent="0.2">
      <c r="A337" s="57"/>
    </row>
    <row r="338" spans="1:1" s="38" customFormat="1" x14ac:dyDescent="0.2">
      <c r="A338" s="57"/>
    </row>
    <row r="339" spans="1:1" s="38" customFormat="1" x14ac:dyDescent="0.2">
      <c r="A339" s="57"/>
    </row>
    <row r="340" spans="1:1" s="38" customFormat="1" x14ac:dyDescent="0.2">
      <c r="A340" s="57"/>
    </row>
    <row r="341" spans="1:1" s="38" customFormat="1" x14ac:dyDescent="0.2">
      <c r="A341" s="57"/>
    </row>
    <row r="342" spans="1:1" s="38" customFormat="1" x14ac:dyDescent="0.2">
      <c r="A342" s="57"/>
    </row>
    <row r="343" spans="1:1" s="38" customFormat="1" x14ac:dyDescent="0.2">
      <c r="A343" s="57"/>
    </row>
    <row r="344" spans="1:1" s="38" customFormat="1" x14ac:dyDescent="0.2">
      <c r="A344" s="57"/>
    </row>
    <row r="345" spans="1:1" s="38" customFormat="1" x14ac:dyDescent="0.2">
      <c r="A345" s="57"/>
    </row>
    <row r="346" spans="1:1" s="38" customFormat="1" x14ac:dyDescent="0.2">
      <c r="A346" s="57"/>
    </row>
    <row r="347" spans="1:1" s="38" customFormat="1" x14ac:dyDescent="0.2">
      <c r="A347" s="57"/>
    </row>
    <row r="348" spans="1:1" s="38" customFormat="1" x14ac:dyDescent="0.2">
      <c r="A348" s="57"/>
    </row>
    <row r="349" spans="1:1" s="38" customFormat="1" x14ac:dyDescent="0.2">
      <c r="A349" s="57"/>
    </row>
    <row r="350" spans="1:1" s="38" customFormat="1" x14ac:dyDescent="0.2">
      <c r="A350" s="57"/>
    </row>
    <row r="351" spans="1:1" s="38" customFormat="1" x14ac:dyDescent="0.2">
      <c r="A351" s="57"/>
    </row>
    <row r="352" spans="1:1" s="38" customFormat="1" x14ac:dyDescent="0.2">
      <c r="A352" s="57"/>
    </row>
    <row r="353" spans="1:1" s="38" customFormat="1" x14ac:dyDescent="0.2">
      <c r="A353" s="57"/>
    </row>
    <row r="354" spans="1:1" s="38" customFormat="1" x14ac:dyDescent="0.2">
      <c r="A354" s="57"/>
    </row>
    <row r="355" spans="1:1" s="38" customFormat="1" x14ac:dyDescent="0.2">
      <c r="A355" s="57"/>
    </row>
    <row r="356" spans="1:1" s="38" customFormat="1" x14ac:dyDescent="0.2">
      <c r="A356" s="57"/>
    </row>
    <row r="357" spans="1:1" s="38" customFormat="1" x14ac:dyDescent="0.2">
      <c r="A357" s="57"/>
    </row>
    <row r="358" spans="1:1" s="38" customFormat="1" x14ac:dyDescent="0.2">
      <c r="A358" s="57"/>
    </row>
    <row r="359" spans="1:1" s="38" customFormat="1" x14ac:dyDescent="0.2">
      <c r="A359" s="57"/>
    </row>
    <row r="360" spans="1:1" s="38" customFormat="1" x14ac:dyDescent="0.2">
      <c r="A360" s="57"/>
    </row>
    <row r="361" spans="1:1" s="38" customFormat="1" x14ac:dyDescent="0.2">
      <c r="A361" s="57"/>
    </row>
    <row r="362" spans="1:1" s="38" customFormat="1" x14ac:dyDescent="0.2">
      <c r="A362" s="57"/>
    </row>
    <row r="363" spans="1:1" s="38" customFormat="1" x14ac:dyDescent="0.2">
      <c r="A363" s="57"/>
    </row>
    <row r="364" spans="1:1" s="38" customFormat="1" x14ac:dyDescent="0.2">
      <c r="A364" s="57"/>
    </row>
    <row r="365" spans="1:1" s="38" customFormat="1" x14ac:dyDescent="0.2">
      <c r="A365" s="57"/>
    </row>
    <row r="366" spans="1:1" s="38" customFormat="1" x14ac:dyDescent="0.2">
      <c r="A366" s="57"/>
    </row>
    <row r="367" spans="1:1" s="38" customFormat="1" x14ac:dyDescent="0.2">
      <c r="A367" s="57"/>
    </row>
    <row r="368" spans="1:1" s="38" customFormat="1" x14ac:dyDescent="0.2">
      <c r="A368" s="57"/>
    </row>
    <row r="369" spans="1:1" s="38" customFormat="1" x14ac:dyDescent="0.2">
      <c r="A369" s="57"/>
    </row>
    <row r="370" spans="1:1" s="38" customFormat="1" x14ac:dyDescent="0.2">
      <c r="A370" s="57"/>
    </row>
    <row r="371" spans="1:1" s="38" customFormat="1" x14ac:dyDescent="0.2">
      <c r="A371" s="57"/>
    </row>
    <row r="372" spans="1:1" s="38" customFormat="1" x14ac:dyDescent="0.2">
      <c r="A372" s="57"/>
    </row>
    <row r="373" spans="1:1" s="38" customFormat="1" x14ac:dyDescent="0.2">
      <c r="A373" s="57"/>
    </row>
    <row r="374" spans="1:1" s="38" customFormat="1" x14ac:dyDescent="0.2">
      <c r="A374" s="57"/>
    </row>
    <row r="375" spans="1:1" s="38" customFormat="1" x14ac:dyDescent="0.2">
      <c r="A375" s="57"/>
    </row>
    <row r="376" spans="1:1" s="38" customFormat="1" x14ac:dyDescent="0.2">
      <c r="A376" s="57"/>
    </row>
    <row r="377" spans="1:1" s="38" customFormat="1" x14ac:dyDescent="0.2">
      <c r="A377" s="57"/>
    </row>
    <row r="378" spans="1:1" s="38" customFormat="1" x14ac:dyDescent="0.2">
      <c r="A378" s="57"/>
    </row>
    <row r="379" spans="1:1" s="38" customFormat="1" x14ac:dyDescent="0.2">
      <c r="A379" s="57"/>
    </row>
    <row r="380" spans="1:1" s="38" customFormat="1" x14ac:dyDescent="0.2">
      <c r="A380" s="57"/>
    </row>
    <row r="381" spans="1:1" s="38" customFormat="1" x14ac:dyDescent="0.2">
      <c r="A381" s="57"/>
    </row>
    <row r="382" spans="1:1" s="38" customFormat="1" x14ac:dyDescent="0.2">
      <c r="A382" s="57"/>
    </row>
    <row r="383" spans="1:1" s="38" customFormat="1" x14ac:dyDescent="0.2">
      <c r="A383" s="57"/>
    </row>
    <row r="384" spans="1:1" s="38" customFormat="1" x14ac:dyDescent="0.2">
      <c r="A384" s="57"/>
    </row>
    <row r="385" spans="1:1" s="38" customFormat="1" x14ac:dyDescent="0.2">
      <c r="A385" s="57"/>
    </row>
    <row r="386" spans="1:1" s="38" customFormat="1" x14ac:dyDescent="0.2">
      <c r="A386" s="57"/>
    </row>
    <row r="387" spans="1:1" s="38" customFormat="1" x14ac:dyDescent="0.2">
      <c r="A387" s="57"/>
    </row>
    <row r="388" spans="1:1" s="38" customFormat="1" x14ac:dyDescent="0.2">
      <c r="A388" s="57"/>
    </row>
    <row r="389" spans="1:1" s="38" customFormat="1" x14ac:dyDescent="0.2">
      <c r="A389" s="57"/>
    </row>
    <row r="390" spans="1:1" s="38" customFormat="1" x14ac:dyDescent="0.2">
      <c r="A390" s="57"/>
    </row>
    <row r="391" spans="1:1" s="38" customFormat="1" x14ac:dyDescent="0.2">
      <c r="A391" s="57"/>
    </row>
    <row r="392" spans="1:1" s="38" customFormat="1" x14ac:dyDescent="0.2">
      <c r="A392" s="57"/>
    </row>
    <row r="393" spans="1:1" s="38" customFormat="1" x14ac:dyDescent="0.2">
      <c r="A393" s="57"/>
    </row>
    <row r="394" spans="1:1" s="38" customFormat="1" x14ac:dyDescent="0.2">
      <c r="A394" s="57"/>
    </row>
    <row r="395" spans="1:1" s="38" customFormat="1" x14ac:dyDescent="0.2">
      <c r="A395" s="57"/>
    </row>
    <row r="396" spans="1:1" s="38" customFormat="1" x14ac:dyDescent="0.2">
      <c r="A396" s="57"/>
    </row>
    <row r="397" spans="1:1" s="38" customFormat="1" x14ac:dyDescent="0.2">
      <c r="A397" s="57"/>
    </row>
    <row r="398" spans="1:1" s="38" customFormat="1" x14ac:dyDescent="0.2">
      <c r="A398" s="57"/>
    </row>
    <row r="399" spans="1:1" s="38" customFormat="1" x14ac:dyDescent="0.2">
      <c r="A399" s="57"/>
    </row>
    <row r="400" spans="1:1" s="38" customFormat="1" x14ac:dyDescent="0.2">
      <c r="A400" s="57"/>
    </row>
    <row r="401" spans="1:1" s="38" customFormat="1" x14ac:dyDescent="0.2">
      <c r="A401" s="57"/>
    </row>
    <row r="402" spans="1:1" s="38" customFormat="1" x14ac:dyDescent="0.2">
      <c r="A402" s="57"/>
    </row>
    <row r="403" spans="1:1" s="38" customFormat="1" x14ac:dyDescent="0.2">
      <c r="A403" s="57"/>
    </row>
    <row r="404" spans="1:1" s="38" customFormat="1" x14ac:dyDescent="0.2">
      <c r="A404" s="57"/>
    </row>
    <row r="405" spans="1:1" s="38" customFormat="1" x14ac:dyDescent="0.2">
      <c r="A405" s="57"/>
    </row>
    <row r="406" spans="1:1" s="38" customFormat="1" x14ac:dyDescent="0.2">
      <c r="A406" s="57"/>
    </row>
    <row r="407" spans="1:1" s="38" customFormat="1" x14ac:dyDescent="0.2">
      <c r="A407" s="57"/>
    </row>
    <row r="408" spans="1:1" s="38" customFormat="1" x14ac:dyDescent="0.2">
      <c r="A408" s="57"/>
    </row>
    <row r="409" spans="1:1" s="38" customFormat="1" x14ac:dyDescent="0.2">
      <c r="A409" s="57"/>
    </row>
    <row r="410" spans="1:1" s="38" customFormat="1" x14ac:dyDescent="0.2">
      <c r="A410" s="57"/>
    </row>
    <row r="411" spans="1:1" s="38" customFormat="1" x14ac:dyDescent="0.2">
      <c r="A411" s="57"/>
    </row>
    <row r="412" spans="1:1" s="38" customFormat="1" x14ac:dyDescent="0.2">
      <c r="A412" s="57"/>
    </row>
    <row r="413" spans="1:1" s="38" customFormat="1" x14ac:dyDescent="0.2">
      <c r="A413" s="57"/>
    </row>
    <row r="414" spans="1:1" s="38" customFormat="1" x14ac:dyDescent="0.2">
      <c r="A414" s="57"/>
    </row>
    <row r="415" spans="1:1" s="38" customFormat="1" x14ac:dyDescent="0.2">
      <c r="A415" s="57"/>
    </row>
    <row r="416" spans="1:1" s="38" customFormat="1" x14ac:dyDescent="0.2">
      <c r="A416" s="57"/>
    </row>
    <row r="417" spans="1:1" s="38" customFormat="1" x14ac:dyDescent="0.2">
      <c r="A417" s="57"/>
    </row>
    <row r="418" spans="1:1" s="38" customFormat="1" x14ac:dyDescent="0.2">
      <c r="A418" s="57"/>
    </row>
    <row r="419" spans="1:1" s="38" customFormat="1" x14ac:dyDescent="0.2">
      <c r="A419" s="57"/>
    </row>
    <row r="420" spans="1:1" s="38" customFormat="1" x14ac:dyDescent="0.2">
      <c r="A420" s="57"/>
    </row>
    <row r="421" spans="1:1" s="38" customFormat="1" x14ac:dyDescent="0.2">
      <c r="A421" s="57"/>
    </row>
    <row r="422" spans="1:1" s="38" customFormat="1" x14ac:dyDescent="0.2">
      <c r="A422" s="57"/>
    </row>
    <row r="423" spans="1:1" s="38" customFormat="1" x14ac:dyDescent="0.2">
      <c r="A423" s="57"/>
    </row>
    <row r="424" spans="1:1" s="38" customFormat="1" x14ac:dyDescent="0.2">
      <c r="A424" s="57"/>
    </row>
    <row r="425" spans="1:1" s="38" customFormat="1" x14ac:dyDescent="0.2">
      <c r="A425" s="57"/>
    </row>
    <row r="426" spans="1:1" s="38" customFormat="1" x14ac:dyDescent="0.2">
      <c r="A426" s="57"/>
    </row>
    <row r="427" spans="1:1" s="38" customFormat="1" x14ac:dyDescent="0.2">
      <c r="A427" s="57"/>
    </row>
    <row r="428" spans="1:1" s="38" customFormat="1" x14ac:dyDescent="0.2">
      <c r="A428" s="57"/>
    </row>
    <row r="429" spans="1:1" s="38" customFormat="1" x14ac:dyDescent="0.2">
      <c r="A429" s="57"/>
    </row>
    <row r="430" spans="1:1" s="38" customFormat="1" x14ac:dyDescent="0.2">
      <c r="A430" s="57"/>
    </row>
    <row r="431" spans="1:1" s="38" customFormat="1" x14ac:dyDescent="0.2">
      <c r="A431" s="57"/>
    </row>
    <row r="432" spans="1:1" s="38" customFormat="1" x14ac:dyDescent="0.2">
      <c r="A432" s="57"/>
    </row>
    <row r="433" spans="1:1" s="38" customFormat="1" x14ac:dyDescent="0.2">
      <c r="A433" s="57"/>
    </row>
    <row r="434" spans="1:1" s="38" customFormat="1" x14ac:dyDescent="0.2">
      <c r="A434" s="57"/>
    </row>
    <row r="435" spans="1:1" s="38" customFormat="1" x14ac:dyDescent="0.2">
      <c r="A435" s="57"/>
    </row>
    <row r="436" spans="1:1" s="38" customFormat="1" x14ac:dyDescent="0.2">
      <c r="A436" s="57"/>
    </row>
    <row r="437" spans="1:1" s="38" customFormat="1" x14ac:dyDescent="0.2">
      <c r="A437" s="57"/>
    </row>
    <row r="438" spans="1:1" s="38" customFormat="1" x14ac:dyDescent="0.2">
      <c r="A438" s="57"/>
    </row>
    <row r="439" spans="1:1" s="38" customFormat="1" x14ac:dyDescent="0.2">
      <c r="A439" s="57"/>
    </row>
    <row r="440" spans="1:1" s="38" customFormat="1" x14ac:dyDescent="0.2">
      <c r="A440" s="57"/>
    </row>
    <row r="441" spans="1:1" s="38" customFormat="1" x14ac:dyDescent="0.2">
      <c r="A441" s="57"/>
    </row>
    <row r="442" spans="1:1" s="38" customFormat="1" x14ac:dyDescent="0.2">
      <c r="A442" s="57"/>
    </row>
    <row r="443" spans="1:1" s="38" customFormat="1" x14ac:dyDescent="0.2">
      <c r="A443" s="57"/>
    </row>
    <row r="444" spans="1:1" s="38" customFormat="1" x14ac:dyDescent="0.2">
      <c r="A444" s="57"/>
    </row>
    <row r="445" spans="1:1" s="38" customFormat="1" x14ac:dyDescent="0.2">
      <c r="A445" s="57"/>
    </row>
    <row r="446" spans="1:1" s="38" customFormat="1" x14ac:dyDescent="0.2">
      <c r="A446" s="57"/>
    </row>
    <row r="447" spans="1:1" s="38" customFormat="1" x14ac:dyDescent="0.2">
      <c r="A447" s="57"/>
    </row>
    <row r="448" spans="1:1" s="38" customFormat="1" x14ac:dyDescent="0.2">
      <c r="A448" s="57"/>
    </row>
    <row r="449" spans="1:1" s="38" customFormat="1" x14ac:dyDescent="0.2">
      <c r="A449" s="57"/>
    </row>
    <row r="450" spans="1:1" s="38" customFormat="1" x14ac:dyDescent="0.2">
      <c r="A450" s="57"/>
    </row>
    <row r="451" spans="1:1" s="38" customFormat="1" x14ac:dyDescent="0.2">
      <c r="A451" s="57"/>
    </row>
    <row r="452" spans="1:1" s="38" customFormat="1" x14ac:dyDescent="0.2">
      <c r="A452" s="57"/>
    </row>
    <row r="453" spans="1:1" s="38" customFormat="1" x14ac:dyDescent="0.2">
      <c r="A453" s="57"/>
    </row>
    <row r="454" spans="1:1" s="38" customFormat="1" x14ac:dyDescent="0.2">
      <c r="A454" s="57"/>
    </row>
    <row r="455" spans="1:1" s="38" customFormat="1" x14ac:dyDescent="0.2">
      <c r="A455" s="57"/>
    </row>
    <row r="456" spans="1:1" s="38" customFormat="1" x14ac:dyDescent="0.2">
      <c r="A456" s="57"/>
    </row>
  </sheetData>
  <mergeCells count="20">
    <mergeCell ref="B2:E2"/>
    <mergeCell ref="B33:D33"/>
    <mergeCell ref="B6:E6"/>
    <mergeCell ref="B9:G9"/>
    <mergeCell ref="B17:F17"/>
    <mergeCell ref="B13:E13"/>
    <mergeCell ref="B26:B29"/>
    <mergeCell ref="B30:B32"/>
    <mergeCell ref="B23:E23"/>
    <mergeCell ref="B7:E7"/>
    <mergeCell ref="B133:C133"/>
    <mergeCell ref="B59:D59"/>
    <mergeCell ref="B49:G49"/>
    <mergeCell ref="C3:E3"/>
    <mergeCell ref="C4:E4"/>
    <mergeCell ref="B40:D40"/>
    <mergeCell ref="B46:E46"/>
    <mergeCell ref="B57:D57"/>
    <mergeCell ref="B42:H42"/>
    <mergeCell ref="B35:D35"/>
  </mergeCells>
  <hyperlinks>
    <hyperlink ref="E33" r:id="rId1" xr:uid="{00000000-0004-0000-1000-000000000000}"/>
    <hyperlink ref="D133" r:id="rId2" location="-waste-characterization-&amp;-capacity-studies-" xr:uid="{00000000-0004-0000-1000-000001000000}"/>
  </hyperlinks>
  <pageMargins left="0.75" right="0.75" top="1" bottom="1" header="0.5" footer="0.5"/>
  <pageSetup orientation="portrait" r:id="rId3"/>
  <headerFooter alignWithMargins="0"/>
  <ignoredErrors>
    <ignoredError sqref="D29" formulaRange="1"/>
    <ignoredError sqref="E29" formula="1"/>
  </ignoredErrors>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0.249977111117893"/>
  </sheetPr>
  <dimension ref="A1:P199"/>
  <sheetViews>
    <sheetView showGridLines="0" topLeftCell="A4" zoomScaleNormal="100" workbookViewId="0">
      <selection activeCell="B11" sqref="B11"/>
    </sheetView>
  </sheetViews>
  <sheetFormatPr defaultRowHeight="12.75" x14ac:dyDescent="0.2"/>
  <cols>
    <col min="1" max="1" width="2.7109375" style="3" customWidth="1"/>
    <col min="2" max="2" width="31.7109375" style="3" customWidth="1"/>
    <col min="3" max="4" width="29.140625" style="3" customWidth="1"/>
    <col min="5" max="6" width="15.85546875" style="3" customWidth="1"/>
    <col min="7" max="7" width="18.140625" style="3" customWidth="1"/>
    <col min="8" max="8" width="19.28515625" style="3" customWidth="1"/>
    <col min="9" max="11" width="15.85546875" style="3" customWidth="1"/>
    <col min="12" max="12" width="14" style="3" customWidth="1"/>
    <col min="13" max="13" width="12" style="3" customWidth="1"/>
    <col min="14" max="14" width="17.7109375" style="3" customWidth="1"/>
    <col min="15" max="15" width="19.28515625" style="3" customWidth="1"/>
    <col min="16" max="16" width="16.85546875" style="3" customWidth="1"/>
    <col min="17" max="17" width="18.5703125" style="3" customWidth="1"/>
    <col min="18" max="18" width="16.5703125" style="3" customWidth="1"/>
    <col min="19" max="19" width="22.7109375" style="3" customWidth="1"/>
    <col min="20" max="26" width="9.140625" style="3" customWidth="1"/>
    <col min="27" max="27" width="20.5703125" style="3" customWidth="1"/>
    <col min="28" max="28" width="9.140625" style="3" customWidth="1"/>
    <col min="29" max="29" width="45.5703125" style="3" customWidth="1"/>
    <col min="30" max="30" width="16.28515625" style="3" customWidth="1"/>
    <col min="31" max="31" width="6.5703125" style="3" customWidth="1"/>
    <col min="32" max="33" width="9.140625" style="3" customWidth="1"/>
    <col min="34" max="34" width="16.28515625" style="3" customWidth="1"/>
    <col min="35" max="35" width="16.5703125" style="3" customWidth="1"/>
    <col min="36" max="37" width="9.140625" style="3" customWidth="1"/>
    <col min="38" max="38" width="14.42578125" style="3" customWidth="1"/>
    <col min="39" max="39" width="9.140625" style="3" customWidth="1"/>
    <col min="40" max="40" width="22.5703125" style="3" customWidth="1"/>
    <col min="41" max="41" width="9.140625" style="3" customWidth="1"/>
    <col min="42" max="52" width="13.42578125" style="3" customWidth="1"/>
    <col min="53" max="16384" width="9.140625" style="3"/>
  </cols>
  <sheetData>
    <row r="1" spans="1:16" ht="13.5" thickBot="1" x14ac:dyDescent="0.25">
      <c r="A1" s="117"/>
      <c r="B1" s="117"/>
      <c r="C1" s="117"/>
      <c r="D1" s="19"/>
      <c r="E1" s="117"/>
      <c r="F1" s="117"/>
      <c r="G1" s="117"/>
      <c r="H1" s="117"/>
      <c r="I1" s="117"/>
      <c r="J1" s="117"/>
      <c r="K1" s="117"/>
      <c r="L1" s="19"/>
      <c r="M1" s="117"/>
      <c r="N1" s="117"/>
      <c r="O1" s="19"/>
      <c r="P1" s="117"/>
    </row>
    <row r="2" spans="1:16" ht="21" customHeight="1" thickBot="1" x14ac:dyDescent="0.25">
      <c r="A2" s="117"/>
      <c r="B2" s="2284" t="s">
        <v>1449</v>
      </c>
      <c r="C2" s="2364"/>
      <c r="D2" s="2364"/>
      <c r="E2" s="1966"/>
      <c r="F2" s="117"/>
      <c r="G2" s="117"/>
      <c r="H2" s="117"/>
      <c r="I2" s="117"/>
      <c r="J2" s="117"/>
      <c r="K2" s="47"/>
      <c r="L2" s="19"/>
      <c r="M2" s="117"/>
      <c r="N2" s="117"/>
      <c r="O2" s="19"/>
      <c r="P2" s="117"/>
    </row>
    <row r="3" spans="1:16" x14ac:dyDescent="0.2">
      <c r="A3" s="117"/>
      <c r="B3" s="224" t="s">
        <v>247</v>
      </c>
      <c r="C3" s="2230" t="s">
        <v>17</v>
      </c>
      <c r="D3" s="2267"/>
      <c r="E3" s="2268"/>
      <c r="F3" s="117"/>
      <c r="G3" s="117"/>
      <c r="H3" s="117"/>
      <c r="I3" s="117"/>
      <c r="J3" s="117"/>
      <c r="K3" s="47"/>
      <c r="L3" s="19"/>
      <c r="M3" s="117"/>
      <c r="N3" s="117"/>
      <c r="O3" s="19"/>
      <c r="P3" s="117"/>
    </row>
    <row r="4" spans="1:16" ht="13.5" thickBot="1" x14ac:dyDescent="0.25">
      <c r="A4" s="117"/>
      <c r="B4" s="225" t="s">
        <v>250</v>
      </c>
      <c r="C4" s="2269" t="s">
        <v>1158</v>
      </c>
      <c r="D4" s="2113"/>
      <c r="E4" s="2270"/>
      <c r="F4" s="117"/>
      <c r="G4" s="117"/>
      <c r="H4" s="117"/>
      <c r="I4" s="117"/>
      <c r="J4" s="117"/>
      <c r="K4" s="47"/>
      <c r="L4" s="19"/>
      <c r="M4" s="117"/>
      <c r="N4" s="117"/>
      <c r="O4" s="19"/>
      <c r="P4" s="117"/>
    </row>
    <row r="5" spans="1:16" ht="13.5" thickBot="1" x14ac:dyDescent="0.25">
      <c r="A5" s="117"/>
      <c r="B5" s="636"/>
      <c r="C5" s="636"/>
      <c r="D5" s="636"/>
      <c r="E5" s="636"/>
      <c r="F5" s="117"/>
      <c r="G5" s="117"/>
      <c r="H5" s="117"/>
      <c r="I5" s="117"/>
      <c r="J5" s="117"/>
      <c r="K5" s="117"/>
      <c r="L5" s="19"/>
      <c r="M5" s="117"/>
      <c r="N5" s="117"/>
      <c r="O5" s="19"/>
      <c r="P5" s="117"/>
    </row>
    <row r="6" spans="1:16" ht="15.75" customHeight="1" thickBot="1" x14ac:dyDescent="0.25">
      <c r="A6" s="117"/>
      <c r="B6" s="1968" t="s">
        <v>91</v>
      </c>
      <c r="C6" s="1974"/>
      <c r="D6" s="1974"/>
      <c r="E6" s="1974"/>
      <c r="F6" s="1974"/>
      <c r="G6" s="1975"/>
      <c r="H6" s="117"/>
      <c r="I6" s="117"/>
      <c r="J6" s="117"/>
      <c r="K6" s="117"/>
      <c r="L6" s="19"/>
      <c r="M6" s="117"/>
      <c r="N6" s="117"/>
      <c r="O6" s="19"/>
      <c r="P6" s="117"/>
    </row>
    <row r="7" spans="1:16" ht="55.5" customHeight="1" thickBot="1" x14ac:dyDescent="0.25">
      <c r="A7" s="117"/>
      <c r="B7" s="2093" t="s">
        <v>1201</v>
      </c>
      <c r="C7" s="2220"/>
      <c r="D7" s="2220"/>
      <c r="E7" s="2220"/>
      <c r="F7" s="2220"/>
      <c r="G7" s="2221"/>
      <c r="H7" s="117"/>
      <c r="I7" s="117"/>
      <c r="J7" s="117"/>
      <c r="K7" s="117"/>
      <c r="L7" s="117"/>
      <c r="M7" s="117"/>
      <c r="N7" s="117"/>
      <c r="O7" s="19"/>
      <c r="P7" s="117"/>
    </row>
    <row r="8" spans="1:16" ht="13.5" thickBot="1" x14ac:dyDescent="0.25">
      <c r="C8" s="117"/>
      <c r="D8" s="117"/>
      <c r="E8" s="117"/>
      <c r="F8" s="117"/>
      <c r="G8" s="117"/>
      <c r="H8" s="117"/>
      <c r="I8" s="117"/>
      <c r="J8" s="117"/>
      <c r="K8" s="117"/>
      <c r="L8" s="117"/>
      <c r="M8" s="117"/>
      <c r="N8" s="19"/>
      <c r="O8" s="117"/>
    </row>
    <row r="9" spans="1:16" ht="15.75" customHeight="1" thickBot="1" x14ac:dyDescent="0.25">
      <c r="B9" s="2379" t="s">
        <v>1078</v>
      </c>
      <c r="C9" s="2215"/>
      <c r="D9" s="2380"/>
      <c r="E9" s="117"/>
      <c r="F9" s="117"/>
      <c r="G9" s="117"/>
      <c r="H9" s="117"/>
      <c r="I9" s="117"/>
      <c r="J9" s="117"/>
      <c r="K9" s="117"/>
      <c r="L9" s="117"/>
      <c r="M9" s="117"/>
      <c r="N9" s="19"/>
      <c r="O9" s="117"/>
    </row>
    <row r="10" spans="1:16" ht="38.25" customHeight="1" x14ac:dyDescent="0.2">
      <c r="B10" s="100" t="s">
        <v>1111</v>
      </c>
      <c r="C10" s="101" t="s">
        <v>1077</v>
      </c>
      <c r="D10" s="640" t="s">
        <v>1083</v>
      </c>
      <c r="E10" s="117"/>
      <c r="F10" s="117"/>
      <c r="G10" s="117"/>
      <c r="H10" s="117"/>
      <c r="I10" s="117"/>
      <c r="J10" s="117"/>
      <c r="K10" s="117"/>
      <c r="L10" s="117"/>
      <c r="M10" s="19"/>
      <c r="N10" s="117"/>
    </row>
    <row r="11" spans="1:16" ht="13.5" thickBot="1" x14ac:dyDescent="0.25">
      <c r="B11" s="736">
        <f>'Waste-Solid Waste Disposal'!D21</f>
        <v>0</v>
      </c>
      <c r="C11" s="1090">
        <f>IF(Inputs!C279="Yes",Inputs!C284,0.5)</f>
        <v>0.5</v>
      </c>
      <c r="D11" s="1091">
        <f>IF(Inputs!C279="Yes",Inputs!C285,0.5)</f>
        <v>0.5</v>
      </c>
      <c r="E11" s="117"/>
      <c r="F11" s="117"/>
      <c r="G11" s="117"/>
      <c r="H11" s="117"/>
      <c r="I11" s="117"/>
      <c r="J11" s="117"/>
      <c r="K11" s="117"/>
      <c r="L11" s="117"/>
      <c r="M11" s="19"/>
      <c r="N11" s="117"/>
    </row>
    <row r="12" spans="1:16" ht="25.5" customHeight="1" thickBot="1" x14ac:dyDescent="0.25">
      <c r="B12" s="2386" t="s">
        <v>1084</v>
      </c>
      <c r="C12" s="2217"/>
      <c r="D12" s="1959"/>
      <c r="E12" s="117"/>
      <c r="F12" s="117"/>
      <c r="G12" s="117"/>
      <c r="H12" s="117"/>
      <c r="I12" s="117"/>
      <c r="J12" s="117"/>
      <c r="K12" s="117"/>
      <c r="L12" s="117"/>
      <c r="M12" s="117"/>
      <c r="N12" s="19"/>
      <c r="O12" s="117"/>
    </row>
    <row r="13" spans="1:16" ht="13.5" thickBot="1" x14ac:dyDescent="0.25">
      <c r="C13" s="117"/>
      <c r="D13" s="117"/>
      <c r="E13" s="117"/>
      <c r="F13" s="117"/>
      <c r="G13" s="117"/>
      <c r="H13" s="117"/>
      <c r="I13" s="117"/>
      <c r="J13" s="117"/>
      <c r="K13" s="117"/>
      <c r="L13" s="117"/>
      <c r="M13" s="117"/>
      <c r="N13" s="19"/>
      <c r="O13" s="117"/>
    </row>
    <row r="14" spans="1:16" s="117" customFormat="1" ht="16.5" customHeight="1" thickBot="1" x14ac:dyDescent="0.25">
      <c r="B14" s="2379" t="s">
        <v>1215</v>
      </c>
      <c r="C14" s="2215"/>
      <c r="D14" s="2215"/>
      <c r="E14" s="2215"/>
      <c r="F14" s="2215"/>
      <c r="G14" s="2215"/>
      <c r="H14" s="2215"/>
      <c r="I14" s="2380"/>
    </row>
    <row r="15" spans="1:16" s="117" customFormat="1" ht="63.75" x14ac:dyDescent="0.2">
      <c r="B15" s="100" t="s">
        <v>1200</v>
      </c>
      <c r="C15" s="101" t="s">
        <v>1059</v>
      </c>
      <c r="D15" s="101" t="s">
        <v>1057</v>
      </c>
      <c r="E15" s="101" t="s">
        <v>1058</v>
      </c>
      <c r="F15" s="101" t="s">
        <v>1061</v>
      </c>
      <c r="G15" s="101" t="s">
        <v>1062</v>
      </c>
      <c r="H15" s="101" t="s">
        <v>1063</v>
      </c>
      <c r="I15" s="640" t="s">
        <v>1064</v>
      </c>
    </row>
    <row r="16" spans="1:16" s="117" customFormat="1" x14ac:dyDescent="0.2">
      <c r="B16" s="530" t="s">
        <v>1060</v>
      </c>
      <c r="C16" s="719">
        <f>(B11*C11)*'Emission Factors'!$D$145</f>
        <v>0</v>
      </c>
      <c r="D16" s="1379">
        <v>4</v>
      </c>
      <c r="E16" s="1379">
        <v>0.3</v>
      </c>
      <c r="F16" s="1427">
        <f>(C16*D16)*'Emission Factors'!D138</f>
        <v>0</v>
      </c>
      <c r="G16" s="1382">
        <v>0</v>
      </c>
      <c r="H16" s="719">
        <f>F16-(F16*G16)</f>
        <v>0</v>
      </c>
      <c r="I16" s="1429">
        <f>(C16*E16)*'Emission Factors'!D138</f>
        <v>0</v>
      </c>
    </row>
    <row r="17" spans="2:12" s="117" customFormat="1" ht="13.5" thickBot="1" x14ac:dyDescent="0.25">
      <c r="B17" s="138" t="s">
        <v>1081</v>
      </c>
      <c r="C17" s="720">
        <f>(B11*D11)*'Emission Factors'!$D$145</f>
        <v>0</v>
      </c>
      <c r="D17" s="1380">
        <v>1</v>
      </c>
      <c r="E17" s="1381">
        <v>0</v>
      </c>
      <c r="F17" s="1428">
        <f>(C17*D17)*'Emission Factors'!D138</f>
        <v>0</v>
      </c>
      <c r="G17" s="1383">
        <v>1</v>
      </c>
      <c r="H17" s="735">
        <f>F17-(F17*G17)</f>
        <v>0</v>
      </c>
      <c r="I17" s="1430">
        <f>(C17*E17)*'Emission Factors'!D138</f>
        <v>0</v>
      </c>
    </row>
    <row r="18" spans="2:12" s="117" customFormat="1" ht="13.5" thickBot="1" x14ac:dyDescent="0.25">
      <c r="B18" s="2395" t="s">
        <v>1157</v>
      </c>
      <c r="C18" s="2373"/>
      <c r="D18" s="2373"/>
      <c r="E18" s="2373"/>
      <c r="F18" s="2373"/>
      <c r="G18" s="2374"/>
      <c r="H18" s="720">
        <f>SUM(H16:H17)</f>
        <v>0</v>
      </c>
      <c r="I18" s="742">
        <f>SUM(I16:I17)</f>
        <v>0</v>
      </c>
    </row>
    <row r="19" spans="2:12" s="117" customFormat="1" ht="73.5" customHeight="1" thickBot="1" x14ac:dyDescent="0.25">
      <c r="B19" s="2396" t="s">
        <v>1065</v>
      </c>
      <c r="C19" s="2259"/>
      <c r="D19" s="2397"/>
      <c r="E19" s="2398"/>
      <c r="F19" s="641" t="s">
        <v>398</v>
      </c>
      <c r="G19" s="38"/>
      <c r="H19" s="26"/>
      <c r="I19" s="38"/>
      <c r="K19" s="26"/>
      <c r="L19" s="47"/>
    </row>
    <row r="20" spans="2:12" s="117" customFormat="1" x14ac:dyDescent="0.2">
      <c r="L20" s="47"/>
    </row>
    <row r="21" spans="2:12" s="117" customFormat="1" ht="357" customHeight="1" x14ac:dyDescent="0.2"/>
    <row r="22" spans="2:12" s="117" customFormat="1" x14ac:dyDescent="0.2"/>
    <row r="23" spans="2:12" s="117" customFormat="1" x14ac:dyDescent="0.2"/>
    <row r="24" spans="2:12" s="117" customFormat="1" x14ac:dyDescent="0.2"/>
    <row r="25" spans="2:12" s="117" customFormat="1" x14ac:dyDescent="0.2"/>
    <row r="26" spans="2:12" s="117" customFormat="1" x14ac:dyDescent="0.2"/>
    <row r="27" spans="2:12" s="117" customFormat="1" x14ac:dyDescent="0.2"/>
    <row r="28" spans="2:12" s="117" customFormat="1" x14ac:dyDescent="0.2"/>
    <row r="29" spans="2:12" s="117" customFormat="1" x14ac:dyDescent="0.2"/>
    <row r="30" spans="2:12" s="117" customFormat="1" x14ac:dyDescent="0.2"/>
    <row r="31" spans="2:12" s="117" customFormat="1" x14ac:dyDescent="0.2"/>
    <row r="32" spans="2:12" s="117" customFormat="1" x14ac:dyDescent="0.2"/>
    <row r="33" s="117" customFormat="1" x14ac:dyDescent="0.2"/>
    <row r="34" s="117" customFormat="1" x14ac:dyDescent="0.2"/>
    <row r="35" s="117" customFormat="1" x14ac:dyDescent="0.2"/>
    <row r="36" s="117" customFormat="1" x14ac:dyDescent="0.2"/>
    <row r="37" s="117" customFormat="1" x14ac:dyDescent="0.2"/>
    <row r="38" s="117" customFormat="1" x14ac:dyDescent="0.2"/>
    <row r="39" s="117" customFormat="1" x14ac:dyDescent="0.2"/>
    <row r="40" s="117" customFormat="1" x14ac:dyDescent="0.2"/>
    <row r="41" s="117" customFormat="1" x14ac:dyDescent="0.2"/>
    <row r="42" s="117" customFormat="1" x14ac:dyDescent="0.2"/>
    <row r="43" s="117" customFormat="1" x14ac:dyDescent="0.2"/>
    <row r="44" s="117" customFormat="1" x14ac:dyDescent="0.2"/>
    <row r="45" s="117" customFormat="1" x14ac:dyDescent="0.2"/>
    <row r="46" s="117" customFormat="1" x14ac:dyDescent="0.2"/>
    <row r="47" s="117" customFormat="1" x14ac:dyDescent="0.2"/>
    <row r="48" s="117" customFormat="1" x14ac:dyDescent="0.2"/>
    <row r="49" s="117" customFormat="1" x14ac:dyDescent="0.2"/>
    <row r="50" s="117" customFormat="1" x14ac:dyDescent="0.2"/>
    <row r="51" s="117" customFormat="1" x14ac:dyDescent="0.2"/>
    <row r="52" s="117" customFormat="1" x14ac:dyDescent="0.2"/>
    <row r="53" s="117" customFormat="1" x14ac:dyDescent="0.2"/>
    <row r="54" s="117" customFormat="1" x14ac:dyDescent="0.2"/>
    <row r="55" s="117" customFormat="1" x14ac:dyDescent="0.2"/>
    <row r="56" s="117" customFormat="1" x14ac:dyDescent="0.2"/>
    <row r="57" s="117" customFormat="1" x14ac:dyDescent="0.2"/>
    <row r="58" s="117" customFormat="1" x14ac:dyDescent="0.2"/>
    <row r="59" s="117" customFormat="1" x14ac:dyDescent="0.2"/>
    <row r="60" s="117" customFormat="1" x14ac:dyDescent="0.2"/>
    <row r="61" s="117" customFormat="1" x14ac:dyDescent="0.2"/>
    <row r="62" s="117" customFormat="1" x14ac:dyDescent="0.2"/>
    <row r="63" s="117" customFormat="1" x14ac:dyDescent="0.2"/>
    <row r="64" s="117" customFormat="1" x14ac:dyDescent="0.2"/>
    <row r="65" s="117" customFormat="1" x14ac:dyDescent="0.2"/>
    <row r="66" s="117" customFormat="1" x14ac:dyDescent="0.2"/>
    <row r="67" s="117" customFormat="1" x14ac:dyDescent="0.2"/>
    <row r="68" s="117" customFormat="1" x14ac:dyDescent="0.2"/>
    <row r="69" s="117" customFormat="1" x14ac:dyDescent="0.2"/>
    <row r="70" s="117" customFormat="1" x14ac:dyDescent="0.2"/>
    <row r="71" s="117" customFormat="1" x14ac:dyDescent="0.2"/>
    <row r="72" s="117" customFormat="1" x14ac:dyDescent="0.2"/>
    <row r="73" s="117" customFormat="1" x14ac:dyDescent="0.2"/>
    <row r="74" s="117" customFormat="1" x14ac:dyDescent="0.2"/>
    <row r="75" s="117" customFormat="1" x14ac:dyDescent="0.2"/>
    <row r="76" s="117" customFormat="1" x14ac:dyDescent="0.2"/>
    <row r="77" s="117" customFormat="1" x14ac:dyDescent="0.2"/>
    <row r="78" s="117" customFormat="1" x14ac:dyDescent="0.2"/>
    <row r="79" s="117" customFormat="1" x14ac:dyDescent="0.2"/>
    <row r="80" s="117" customFormat="1" x14ac:dyDescent="0.2"/>
    <row r="81" s="117" customFormat="1" x14ac:dyDescent="0.2"/>
    <row r="82" s="117" customFormat="1" x14ac:dyDescent="0.2"/>
    <row r="83" s="117" customFormat="1" x14ac:dyDescent="0.2"/>
    <row r="84" s="117" customFormat="1" x14ac:dyDescent="0.2"/>
    <row r="85" s="117" customFormat="1" x14ac:dyDescent="0.2"/>
    <row r="86" s="117" customFormat="1" x14ac:dyDescent="0.2"/>
    <row r="87" s="117" customFormat="1" x14ac:dyDescent="0.2"/>
    <row r="88" s="117" customFormat="1" x14ac:dyDescent="0.2"/>
    <row r="89" s="117" customFormat="1" x14ac:dyDescent="0.2"/>
    <row r="90" s="117" customFormat="1" x14ac:dyDescent="0.2"/>
    <row r="91" s="117" customFormat="1" x14ac:dyDescent="0.2"/>
    <row r="92" s="117" customFormat="1" x14ac:dyDescent="0.2"/>
    <row r="93" s="117" customFormat="1" x14ac:dyDescent="0.2"/>
    <row r="94" s="117" customFormat="1" x14ac:dyDescent="0.2"/>
    <row r="95" s="117" customFormat="1" x14ac:dyDescent="0.2"/>
    <row r="96" s="117" customFormat="1" x14ac:dyDescent="0.2"/>
    <row r="97" s="117" customFormat="1" x14ac:dyDescent="0.2"/>
    <row r="98" s="117" customFormat="1" x14ac:dyDescent="0.2"/>
    <row r="99" s="117" customFormat="1" x14ac:dyDescent="0.2"/>
    <row r="100" s="117" customFormat="1" x14ac:dyDescent="0.2"/>
    <row r="101" s="117" customFormat="1" x14ac:dyDescent="0.2"/>
    <row r="102" s="117" customFormat="1" x14ac:dyDescent="0.2"/>
    <row r="103" s="117" customFormat="1" x14ac:dyDescent="0.2"/>
    <row r="104" s="117" customFormat="1" x14ac:dyDescent="0.2"/>
    <row r="105" s="117" customFormat="1" x14ac:dyDescent="0.2"/>
    <row r="106" s="117" customFormat="1" x14ac:dyDescent="0.2"/>
    <row r="107" s="117" customFormat="1" x14ac:dyDescent="0.2"/>
    <row r="108" s="117" customFormat="1" x14ac:dyDescent="0.2"/>
    <row r="109" s="117" customFormat="1" x14ac:dyDescent="0.2"/>
    <row r="110" s="117" customFormat="1" x14ac:dyDescent="0.2"/>
    <row r="111" s="117" customFormat="1" x14ac:dyDescent="0.2"/>
    <row r="112" s="117" customFormat="1" x14ac:dyDescent="0.2"/>
    <row r="113" s="117" customFormat="1" x14ac:dyDescent="0.2"/>
    <row r="114" s="117" customFormat="1" x14ac:dyDescent="0.2"/>
    <row r="115" s="117" customFormat="1" x14ac:dyDescent="0.2"/>
    <row r="116" s="117" customFormat="1" x14ac:dyDescent="0.2"/>
    <row r="117" s="117" customFormat="1" x14ac:dyDescent="0.2"/>
    <row r="118" s="117" customFormat="1" x14ac:dyDescent="0.2"/>
    <row r="119" s="117" customFormat="1" x14ac:dyDescent="0.2"/>
    <row r="120" s="117" customFormat="1" x14ac:dyDescent="0.2"/>
    <row r="121" s="117" customFormat="1" x14ac:dyDescent="0.2"/>
    <row r="122" s="117" customFormat="1" x14ac:dyDescent="0.2"/>
    <row r="123" s="117" customFormat="1" x14ac:dyDescent="0.2"/>
    <row r="124" s="117" customFormat="1" x14ac:dyDescent="0.2"/>
    <row r="125" s="117" customFormat="1" x14ac:dyDescent="0.2"/>
    <row r="126" s="117" customFormat="1" x14ac:dyDescent="0.2"/>
    <row r="127" s="117" customFormat="1" x14ac:dyDescent="0.2"/>
    <row r="128" s="117" customFormat="1" x14ac:dyDescent="0.2"/>
    <row r="129" s="117" customFormat="1" x14ac:dyDescent="0.2"/>
    <row r="130" s="117" customFormat="1" x14ac:dyDescent="0.2"/>
    <row r="131" s="117" customFormat="1" x14ac:dyDescent="0.2"/>
    <row r="132" s="117" customFormat="1" x14ac:dyDescent="0.2"/>
    <row r="133" s="117" customFormat="1" x14ac:dyDescent="0.2"/>
    <row r="134" s="117" customFormat="1" x14ac:dyDescent="0.2"/>
    <row r="135" s="117" customFormat="1" x14ac:dyDescent="0.2"/>
    <row r="136" s="117" customFormat="1" x14ac:dyDescent="0.2"/>
    <row r="137" s="117" customFormat="1" x14ac:dyDescent="0.2"/>
    <row r="138" s="117" customFormat="1" x14ac:dyDescent="0.2"/>
    <row r="139" s="117" customFormat="1" x14ac:dyDescent="0.2"/>
    <row r="140" s="117" customFormat="1" x14ac:dyDescent="0.2"/>
    <row r="141" s="117" customFormat="1" x14ac:dyDescent="0.2"/>
    <row r="142" s="117" customFormat="1" x14ac:dyDescent="0.2"/>
    <row r="143" s="117" customFormat="1" x14ac:dyDescent="0.2"/>
    <row r="144" s="117" customFormat="1" x14ac:dyDescent="0.2"/>
    <row r="145" s="117" customFormat="1" x14ac:dyDescent="0.2"/>
    <row r="146" s="117" customFormat="1" x14ac:dyDescent="0.2"/>
    <row r="147" s="117" customFormat="1" x14ac:dyDescent="0.2"/>
    <row r="148" s="117" customFormat="1" x14ac:dyDescent="0.2"/>
    <row r="149" s="117" customFormat="1" x14ac:dyDescent="0.2"/>
    <row r="150" s="117" customFormat="1" x14ac:dyDescent="0.2"/>
    <row r="151" s="117" customFormat="1" x14ac:dyDescent="0.2"/>
    <row r="152" s="117" customFormat="1" x14ac:dyDescent="0.2"/>
    <row r="153" s="117" customFormat="1" x14ac:dyDescent="0.2"/>
    <row r="154" s="117" customFormat="1" x14ac:dyDescent="0.2"/>
    <row r="155" s="117" customFormat="1" x14ac:dyDescent="0.2"/>
    <row r="156" s="117" customFormat="1" x14ac:dyDescent="0.2"/>
    <row r="157" s="117" customFormat="1" x14ac:dyDescent="0.2"/>
    <row r="158" s="117" customFormat="1" x14ac:dyDescent="0.2"/>
    <row r="159" s="117" customFormat="1" x14ac:dyDescent="0.2"/>
    <row r="160" s="117" customFormat="1" x14ac:dyDescent="0.2"/>
    <row r="161" s="117" customFormat="1" x14ac:dyDescent="0.2"/>
    <row r="162" s="117" customFormat="1" x14ac:dyDescent="0.2"/>
    <row r="163" s="117" customFormat="1" x14ac:dyDescent="0.2"/>
    <row r="164" s="117" customFormat="1" x14ac:dyDescent="0.2"/>
    <row r="165" s="117" customFormat="1" x14ac:dyDescent="0.2"/>
    <row r="166" s="117" customFormat="1" x14ac:dyDescent="0.2"/>
    <row r="167" s="117" customFormat="1" x14ac:dyDescent="0.2"/>
    <row r="168" s="117" customFormat="1" x14ac:dyDescent="0.2"/>
    <row r="169" s="117" customFormat="1" x14ac:dyDescent="0.2"/>
    <row r="170" s="117" customFormat="1" x14ac:dyDescent="0.2"/>
    <row r="171" s="117" customFormat="1" x14ac:dyDescent="0.2"/>
    <row r="172" s="117" customFormat="1" x14ac:dyDescent="0.2"/>
    <row r="173" s="117" customFormat="1" x14ac:dyDescent="0.2"/>
    <row r="174" s="117" customFormat="1" x14ac:dyDescent="0.2"/>
    <row r="175" s="117" customFormat="1" x14ac:dyDescent="0.2"/>
    <row r="176" s="117" customFormat="1" x14ac:dyDescent="0.2"/>
    <row r="177" s="117" customFormat="1" x14ac:dyDescent="0.2"/>
    <row r="178" s="117" customFormat="1" x14ac:dyDescent="0.2"/>
    <row r="179" s="117" customFormat="1" x14ac:dyDescent="0.2"/>
    <row r="180" s="117" customFormat="1" x14ac:dyDescent="0.2"/>
    <row r="181" s="117" customFormat="1" x14ac:dyDescent="0.2"/>
    <row r="182" s="117" customFormat="1" x14ac:dyDescent="0.2"/>
    <row r="183" s="117" customFormat="1" x14ac:dyDescent="0.2"/>
    <row r="184" s="117" customFormat="1" x14ac:dyDescent="0.2"/>
    <row r="185" s="117" customFormat="1" x14ac:dyDescent="0.2"/>
    <row r="186" s="117" customFormat="1" x14ac:dyDescent="0.2"/>
    <row r="187" s="117" customFormat="1" x14ac:dyDescent="0.2"/>
    <row r="188" s="117" customFormat="1" x14ac:dyDescent="0.2"/>
    <row r="189" s="117" customFormat="1" x14ac:dyDescent="0.2"/>
    <row r="190" s="117" customFormat="1" x14ac:dyDescent="0.2"/>
    <row r="191" s="117" customFormat="1" x14ac:dyDescent="0.2"/>
    <row r="192" s="117" customFormat="1" x14ac:dyDescent="0.2"/>
    <row r="193" s="117" customFormat="1" x14ac:dyDescent="0.2"/>
    <row r="194" s="117" customFormat="1" x14ac:dyDescent="0.2"/>
    <row r="195" s="117" customFormat="1" x14ac:dyDescent="0.2"/>
    <row r="196" s="117" customFormat="1" x14ac:dyDescent="0.2"/>
    <row r="197" s="117" customFormat="1" x14ac:dyDescent="0.2"/>
    <row r="198" s="117" customFormat="1" x14ac:dyDescent="0.2"/>
    <row r="199" s="117" customFormat="1" x14ac:dyDescent="0.2"/>
  </sheetData>
  <mergeCells count="10">
    <mergeCell ref="B2:E2"/>
    <mergeCell ref="C3:E3"/>
    <mergeCell ref="C4:E4"/>
    <mergeCell ref="B6:G6"/>
    <mergeCell ref="B7:G7"/>
    <mergeCell ref="B12:D12"/>
    <mergeCell ref="B18:G18"/>
    <mergeCell ref="B14:I14"/>
    <mergeCell ref="B9:D9"/>
    <mergeCell ref="B19:E19"/>
  </mergeCells>
  <hyperlinks>
    <hyperlink ref="F19" r:id="rId1" location="-waste-characterization-&amp;-capacity-studies-" xr:uid="{00000000-0004-0000-1100-000000000000}"/>
  </hyperlinks>
  <pageMargins left="0.75" right="0.75" top="1" bottom="1" header="0.5" footer="0.5"/>
  <pageSetup orientation="portrait" r:id="rId2"/>
  <headerFooter alignWithMargins="0"/>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tint="-0.249977111117893"/>
  </sheetPr>
  <dimension ref="A1:BE433"/>
  <sheetViews>
    <sheetView showGridLines="0" topLeftCell="A4" zoomScaleNormal="100" workbookViewId="0">
      <selection activeCell="D53" sqref="D53"/>
    </sheetView>
  </sheetViews>
  <sheetFormatPr defaultRowHeight="12.75" x14ac:dyDescent="0.2"/>
  <cols>
    <col min="1" max="1" width="2.7109375" style="3" customWidth="1"/>
    <col min="2" max="2" width="25.5703125" style="3" bestFit="1" customWidth="1"/>
    <col min="3" max="4" width="29.140625" style="3" customWidth="1"/>
    <col min="5" max="6" width="15.85546875" style="3" customWidth="1"/>
    <col min="7" max="7" width="18.140625" style="3" customWidth="1"/>
    <col min="8" max="8" width="19.28515625" style="3" customWidth="1"/>
    <col min="9" max="11" width="15.85546875" style="3" customWidth="1"/>
    <col min="12" max="12" width="14" style="3" customWidth="1"/>
    <col min="13" max="13" width="12" style="3" customWidth="1"/>
    <col min="14" max="14" width="17.7109375" style="3" customWidth="1"/>
    <col min="15" max="15" width="19.28515625" style="3" customWidth="1"/>
    <col min="16" max="16" width="16.85546875" style="3" customWidth="1"/>
    <col min="17" max="17" width="18.5703125" style="3" customWidth="1"/>
    <col min="18" max="18" width="16.5703125" style="3" customWidth="1"/>
    <col min="19" max="19" width="22.7109375" style="3" customWidth="1"/>
    <col min="20" max="26" width="9.140625" style="3" customWidth="1"/>
    <col min="27" max="27" width="20.5703125" style="3" customWidth="1"/>
    <col min="28" max="28" width="9.140625" style="3" customWidth="1"/>
    <col min="29" max="29" width="45.5703125" style="3" customWidth="1"/>
    <col min="30" max="30" width="16.28515625" style="3" customWidth="1"/>
    <col min="31" max="31" width="6.5703125" style="3" customWidth="1"/>
    <col min="32" max="33" width="9.140625" style="3" customWidth="1"/>
    <col min="34" max="34" width="16.28515625" style="3" customWidth="1"/>
    <col min="35" max="35" width="16.5703125" style="3" customWidth="1"/>
    <col min="36" max="37" width="9.140625" style="3" customWidth="1"/>
    <col min="38" max="38" width="14.42578125" style="3" customWidth="1"/>
    <col min="39" max="39" width="9.140625" style="3" customWidth="1"/>
    <col min="40" max="40" width="22.5703125" style="3" customWidth="1"/>
    <col min="41" max="41" width="9.140625" style="3" customWidth="1"/>
    <col min="42" max="52" width="13.42578125" style="3" customWidth="1"/>
    <col min="53" max="16384" width="9.140625" style="3"/>
  </cols>
  <sheetData>
    <row r="1" spans="1:16" ht="13.5" thickBot="1" x14ac:dyDescent="0.25">
      <c r="A1" s="117"/>
      <c r="B1" s="117"/>
      <c r="C1" s="117"/>
      <c r="D1" s="19"/>
      <c r="E1" s="117"/>
      <c r="F1" s="117"/>
      <c r="G1" s="117"/>
      <c r="H1" s="117"/>
      <c r="I1" s="117"/>
      <c r="J1" s="117"/>
      <c r="K1" s="117"/>
      <c r="L1" s="19"/>
      <c r="M1" s="117"/>
      <c r="N1" s="117"/>
      <c r="O1" s="19"/>
      <c r="P1" s="117"/>
    </row>
    <row r="2" spans="1:16" ht="21" customHeight="1" thickBot="1" x14ac:dyDescent="0.25">
      <c r="A2" s="117"/>
      <c r="B2" s="2284" t="s">
        <v>1450</v>
      </c>
      <c r="C2" s="2364"/>
      <c r="D2" s="2364"/>
      <c r="E2" s="1966"/>
      <c r="F2" s="117"/>
      <c r="G2" s="117"/>
      <c r="H2" s="117"/>
      <c r="I2" s="117"/>
      <c r="J2" s="117"/>
      <c r="K2" s="117"/>
      <c r="L2" s="19"/>
      <c r="M2" s="117"/>
      <c r="N2" s="117"/>
      <c r="O2" s="19"/>
      <c r="P2" s="117"/>
    </row>
    <row r="3" spans="1:16" x14ac:dyDescent="0.2">
      <c r="A3" s="117"/>
      <c r="B3" s="224" t="s">
        <v>247</v>
      </c>
      <c r="C3" s="2230" t="s">
        <v>17</v>
      </c>
      <c r="D3" s="2267"/>
      <c r="E3" s="2268"/>
      <c r="F3" s="117"/>
      <c r="G3" s="117"/>
      <c r="H3" s="117"/>
      <c r="I3" s="117"/>
      <c r="J3" s="117"/>
      <c r="K3" s="117"/>
      <c r="L3" s="19"/>
      <c r="M3" s="117"/>
      <c r="N3" s="117"/>
      <c r="O3" s="19"/>
      <c r="P3" s="117"/>
    </row>
    <row r="4" spans="1:16" ht="13.5" thickBot="1" x14ac:dyDescent="0.25">
      <c r="A4" s="117"/>
      <c r="B4" s="225" t="s">
        <v>250</v>
      </c>
      <c r="C4" s="2269" t="s">
        <v>215</v>
      </c>
      <c r="D4" s="2113"/>
      <c r="E4" s="2270"/>
      <c r="F4" s="117"/>
      <c r="G4" s="117"/>
      <c r="H4" s="117"/>
      <c r="I4" s="117"/>
      <c r="J4" s="117"/>
      <c r="K4" s="117"/>
      <c r="L4" s="19"/>
      <c r="M4" s="117"/>
      <c r="N4" s="117"/>
      <c r="O4" s="19"/>
      <c r="P4" s="117"/>
    </row>
    <row r="5" spans="1:16" ht="13.5" thickBot="1" x14ac:dyDescent="0.25">
      <c r="A5" s="117"/>
      <c r="B5" s="214"/>
      <c r="C5" s="214"/>
      <c r="D5" s="214"/>
      <c r="E5" s="214"/>
      <c r="F5" s="117"/>
      <c r="G5" s="117"/>
      <c r="H5" s="117"/>
      <c r="I5" s="117"/>
      <c r="J5" s="117"/>
      <c r="K5" s="117"/>
      <c r="L5" s="19"/>
      <c r="M5" s="117"/>
      <c r="N5" s="117"/>
      <c r="O5" s="19"/>
      <c r="P5" s="117"/>
    </row>
    <row r="6" spans="1:16" ht="15.75" customHeight="1" thickBot="1" x14ac:dyDescent="0.25">
      <c r="A6" s="117"/>
      <c r="B6" s="1968" t="s">
        <v>91</v>
      </c>
      <c r="C6" s="1974"/>
      <c r="D6" s="1974"/>
      <c r="E6" s="1974"/>
      <c r="F6" s="1974"/>
      <c r="G6" s="1975"/>
      <c r="H6" s="117"/>
      <c r="I6" s="117"/>
      <c r="J6" s="117"/>
      <c r="K6" s="117"/>
      <c r="L6" s="19"/>
      <c r="M6" s="117"/>
      <c r="N6" s="117"/>
      <c r="O6" s="19"/>
      <c r="P6" s="117"/>
    </row>
    <row r="7" spans="1:16" ht="141.75" customHeight="1" thickBot="1" x14ac:dyDescent="0.25">
      <c r="A7" s="117"/>
      <c r="B7" s="2290" t="s">
        <v>1202</v>
      </c>
      <c r="C7" s="2291"/>
      <c r="D7" s="2291"/>
      <c r="E7" s="2291"/>
      <c r="F7" s="2291"/>
      <c r="G7" s="2292"/>
      <c r="H7" s="117"/>
      <c r="I7" s="117"/>
      <c r="J7" s="117"/>
      <c r="K7" s="117"/>
      <c r="L7" s="19"/>
      <c r="M7" s="117"/>
      <c r="N7" s="117"/>
      <c r="O7" s="19"/>
      <c r="P7" s="117"/>
    </row>
    <row r="8" spans="1:16" ht="13.5" thickBot="1" x14ac:dyDescent="0.25">
      <c r="D8" s="117"/>
      <c r="E8" s="117"/>
      <c r="F8" s="117"/>
      <c r="G8" s="117"/>
      <c r="H8" s="117"/>
      <c r="I8" s="117"/>
      <c r="J8" s="117"/>
      <c r="K8" s="117"/>
      <c r="L8" s="117"/>
      <c r="M8" s="117"/>
      <c r="N8" s="19"/>
      <c r="O8" s="117"/>
    </row>
    <row r="9" spans="1:16" s="117" customFormat="1" ht="15.75" thickBot="1" x14ac:dyDescent="0.25">
      <c r="B9" s="2012" t="s">
        <v>164</v>
      </c>
      <c r="C9" s="2191"/>
      <c r="D9" s="1966"/>
      <c r="H9" s="19"/>
      <c r="N9" s="19"/>
    </row>
    <row r="10" spans="1:16" s="117" customFormat="1" x14ac:dyDescent="0.2">
      <c r="B10" s="354" t="s">
        <v>358</v>
      </c>
      <c r="C10" s="355" t="s">
        <v>303</v>
      </c>
      <c r="D10" s="356" t="s">
        <v>359</v>
      </c>
      <c r="H10" s="19"/>
      <c r="N10" s="19"/>
    </row>
    <row r="11" spans="1:16" s="117" customFormat="1" ht="12.75" customHeight="1" thickBot="1" x14ac:dyDescent="0.25">
      <c r="B11" s="397">
        <f>H45</f>
        <v>0</v>
      </c>
      <c r="C11" s="396">
        <f>J29</f>
        <v>0</v>
      </c>
      <c r="D11" s="395">
        <f>H60</f>
        <v>0</v>
      </c>
      <c r="H11" s="19"/>
      <c r="N11" s="19"/>
    </row>
    <row r="12" spans="1:16" s="117" customFormat="1" ht="12.75" customHeight="1" thickBot="1" x14ac:dyDescent="0.25">
      <c r="H12" s="19"/>
    </row>
    <row r="13" spans="1:16" s="117" customFormat="1" ht="15.75" thickBot="1" x14ac:dyDescent="0.25">
      <c r="B13" s="2009" t="s">
        <v>383</v>
      </c>
      <c r="C13" s="2156"/>
      <c r="D13" s="2010"/>
      <c r="E13" s="2011"/>
      <c r="H13" s="19"/>
    </row>
    <row r="14" spans="1:16" s="117" customFormat="1" ht="38.25" customHeight="1" x14ac:dyDescent="0.2">
      <c r="B14" s="100" t="s">
        <v>142</v>
      </c>
      <c r="C14" s="101" t="s">
        <v>166</v>
      </c>
      <c r="D14" s="101" t="s">
        <v>382</v>
      </c>
      <c r="E14" s="565" t="s">
        <v>151</v>
      </c>
      <c r="I14" s="19"/>
    </row>
    <row r="15" spans="1:16" s="117" customFormat="1" ht="12.75" customHeight="1" x14ac:dyDescent="0.2">
      <c r="B15" s="567" t="s">
        <v>1069</v>
      </c>
      <c r="C15" s="726">
        <f>'Waste-Solid Waste Disposal'!C19</f>
        <v>0</v>
      </c>
      <c r="D15" s="1092">
        <f>'Waste-Solid Waste Disposal'!E32</f>
        <v>0.70601336302895323</v>
      </c>
      <c r="E15" s="569">
        <f>C15*D15</f>
        <v>0</v>
      </c>
      <c r="I15" s="19"/>
    </row>
    <row r="16" spans="1:16" s="117" customFormat="1" ht="12.75" customHeight="1" x14ac:dyDescent="0.2">
      <c r="B16" s="567" t="s">
        <v>1070</v>
      </c>
      <c r="C16" s="726">
        <f>'Waste-Solid Waste Disposal'!C20</f>
        <v>0</v>
      </c>
      <c r="D16" s="1092">
        <f>'Waste-Solid Waste Disposal'!E32</f>
        <v>0.70601336302895323</v>
      </c>
      <c r="E16" s="569">
        <f>C16*D16</f>
        <v>0</v>
      </c>
      <c r="F16" s="566"/>
      <c r="I16" s="19"/>
    </row>
    <row r="17" spans="2:57" s="117" customFormat="1" ht="12.75" customHeight="1" thickBot="1" x14ac:dyDescent="0.25">
      <c r="B17" s="568" t="s">
        <v>113</v>
      </c>
      <c r="C17" s="178">
        <f>SUM(C15:C16)</f>
        <v>0</v>
      </c>
      <c r="D17" s="1102"/>
      <c r="E17" s="93">
        <f t="shared" ref="E17" si="0">SUM(E15:E16)</f>
        <v>0</v>
      </c>
      <c r="H17" s="19"/>
    </row>
    <row r="18" spans="2:57" s="117" customFormat="1" ht="12.75" customHeight="1" thickBot="1" x14ac:dyDescent="0.25">
      <c r="H18" s="19"/>
    </row>
    <row r="19" spans="2:57" s="4" customFormat="1" ht="15.75" customHeight="1" thickBot="1" x14ac:dyDescent="0.3">
      <c r="B19" s="2390" t="s">
        <v>384</v>
      </c>
      <c r="C19" s="1965"/>
      <c r="D19" s="1965"/>
      <c r="E19" s="1965"/>
      <c r="F19" s="1965"/>
      <c r="G19" s="1965"/>
      <c r="H19" s="1965"/>
      <c r="I19" s="1965"/>
      <c r="J19" s="1966"/>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row>
    <row r="20" spans="2:57" s="4" customFormat="1" ht="51" x14ac:dyDescent="0.2">
      <c r="B20" s="84" t="s">
        <v>110</v>
      </c>
      <c r="C20" s="164" t="s">
        <v>153</v>
      </c>
      <c r="D20" s="140" t="s">
        <v>151</v>
      </c>
      <c r="E20" s="140" t="s">
        <v>147</v>
      </c>
      <c r="F20" s="140" t="s">
        <v>144</v>
      </c>
      <c r="G20" s="140" t="s">
        <v>145</v>
      </c>
      <c r="H20" s="140" t="s">
        <v>146</v>
      </c>
      <c r="I20" s="140" t="s">
        <v>128</v>
      </c>
      <c r="J20" s="2402" t="s">
        <v>154</v>
      </c>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17"/>
      <c r="AX20" s="117"/>
      <c r="AY20" s="117"/>
      <c r="AZ20" s="117"/>
      <c r="BA20" s="117"/>
      <c r="BB20" s="117"/>
      <c r="BC20" s="117"/>
      <c r="BD20" s="117"/>
    </row>
    <row r="21" spans="2:57" s="4" customFormat="1" ht="25.5" x14ac:dyDescent="0.2">
      <c r="B21" s="91" t="s">
        <v>170</v>
      </c>
      <c r="C21" s="165" t="s">
        <v>152</v>
      </c>
      <c r="D21" s="162" t="s">
        <v>149</v>
      </c>
      <c r="E21" s="162" t="s">
        <v>148</v>
      </c>
      <c r="F21" s="162" t="s">
        <v>40</v>
      </c>
      <c r="G21" s="162" t="s">
        <v>41</v>
      </c>
      <c r="H21" s="162" t="s">
        <v>42</v>
      </c>
      <c r="I21" s="162" t="s">
        <v>43</v>
      </c>
      <c r="J21" s="2403"/>
      <c r="K21" s="23"/>
      <c r="L21" s="20"/>
      <c r="M21" s="11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row>
    <row r="22" spans="2:57" s="4" customFormat="1" x14ac:dyDescent="0.2">
      <c r="B22" s="2399" t="s">
        <v>169</v>
      </c>
      <c r="C22" s="166" t="s">
        <v>150</v>
      </c>
      <c r="D22" s="547">
        <f>E17</f>
        <v>0</v>
      </c>
      <c r="E22" s="160"/>
      <c r="F22" s="160"/>
      <c r="G22" s="160"/>
      <c r="H22" s="160"/>
      <c r="I22" s="160"/>
      <c r="J22" s="160"/>
      <c r="K22" s="23"/>
      <c r="L22" s="20"/>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7"/>
      <c r="BA22" s="117"/>
      <c r="BB22" s="117"/>
      <c r="BC22" s="117"/>
      <c r="BD22" s="117"/>
    </row>
    <row r="23" spans="2:57" s="4" customFormat="1" x14ac:dyDescent="0.2">
      <c r="B23" s="2400"/>
      <c r="C23" s="699" t="s">
        <v>21</v>
      </c>
      <c r="D23" s="1099"/>
      <c r="E23" s="1093">
        <f>'Waste-Solid Waste Disposal'!F51</f>
        <v>0.26052530690061121</v>
      </c>
      <c r="F23" s="1384">
        <v>0.4</v>
      </c>
      <c r="G23" s="1384">
        <v>0.38</v>
      </c>
      <c r="H23" s="1384">
        <v>0</v>
      </c>
      <c r="I23" s="1384">
        <v>1</v>
      </c>
      <c r="J23" s="1094">
        <f>E23*F23*G23*H23*I23</f>
        <v>0</v>
      </c>
      <c r="K23" s="23"/>
      <c r="L23" s="20"/>
      <c r="M23" s="11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row>
    <row r="24" spans="2:57" x14ac:dyDescent="0.2">
      <c r="B24" s="2400"/>
      <c r="C24" s="700" t="s">
        <v>22</v>
      </c>
      <c r="D24" s="1100"/>
      <c r="E24" s="647">
        <f>'Waste-Solid Waste Disposal'!F52</f>
        <v>5.2873551390378921E-2</v>
      </c>
      <c r="F24" s="1385">
        <v>0.4</v>
      </c>
      <c r="G24" s="1385">
        <v>0.49</v>
      </c>
      <c r="H24" s="1385">
        <v>0</v>
      </c>
      <c r="I24" s="1385">
        <v>1</v>
      </c>
      <c r="J24" s="1095">
        <f>E24*F24*G24*H24*I24</f>
        <v>0</v>
      </c>
      <c r="K24" s="23"/>
      <c r="L24" s="20"/>
      <c r="M24" s="11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row>
    <row r="25" spans="2:57" x14ac:dyDescent="0.2">
      <c r="B25" s="2400"/>
      <c r="C25" s="700" t="s">
        <v>23</v>
      </c>
      <c r="D25" s="1100"/>
      <c r="E25" s="647">
        <f>'Waste-Solid Waste Disposal'!F53</f>
        <v>0.21738806637036237</v>
      </c>
      <c r="F25" s="1385">
        <v>0.9</v>
      </c>
      <c r="G25" s="1385">
        <v>0.46</v>
      </c>
      <c r="H25" s="1385">
        <v>0.01</v>
      </c>
      <c r="I25" s="1385">
        <v>1</v>
      </c>
      <c r="J25" s="1095">
        <f t="shared" ref="J25:J28" si="1">E25*F25*G25*H25*I25</f>
        <v>8.9998659477330035E-4</v>
      </c>
      <c r="K25" s="23"/>
      <c r="L25" s="20"/>
      <c r="M25" s="11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row>
    <row r="26" spans="2:57" x14ac:dyDescent="0.2">
      <c r="B26" s="2400"/>
      <c r="C26" s="700" t="s">
        <v>24</v>
      </c>
      <c r="D26" s="1100"/>
      <c r="E26" s="647">
        <f>'Waste-Solid Waste Disposal'!F54</f>
        <v>7.6242799014414941E-2</v>
      </c>
      <c r="F26" s="1385">
        <v>0.85</v>
      </c>
      <c r="G26" s="1385">
        <v>0.5</v>
      </c>
      <c r="H26" s="1385">
        <v>0</v>
      </c>
      <c r="I26" s="1385">
        <v>1</v>
      </c>
      <c r="J26" s="1095">
        <f t="shared" si="1"/>
        <v>0</v>
      </c>
      <c r="K26" s="23"/>
      <c r="L26" s="20"/>
      <c r="M26" s="11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row>
    <row r="27" spans="2:57" x14ac:dyDescent="0.2">
      <c r="B27" s="2400"/>
      <c r="C27" s="700" t="s">
        <v>25</v>
      </c>
      <c r="D27" s="1100"/>
      <c r="E27" s="647">
        <f>'Waste-Solid Waste Disposal'!F55</f>
        <v>5.8358097308840798E-2</v>
      </c>
      <c r="F27" s="1385">
        <v>0.8</v>
      </c>
      <c r="G27" s="1385">
        <v>0.5</v>
      </c>
      <c r="H27" s="1385">
        <v>0.16</v>
      </c>
      <c r="I27" s="1385">
        <v>1</v>
      </c>
      <c r="J27" s="1095">
        <f t="shared" si="1"/>
        <v>3.7349182277658113E-3</v>
      </c>
      <c r="K27" s="23"/>
      <c r="L27" s="20"/>
      <c r="M27" s="11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row>
    <row r="28" spans="2:57" ht="13.5" thickBot="1" x14ac:dyDescent="0.25">
      <c r="B28" s="2400"/>
      <c r="C28" s="1096" t="s">
        <v>26</v>
      </c>
      <c r="D28" s="1101"/>
      <c r="E28" s="1097">
        <f>'Waste-Solid Waste Disposal'!F56</f>
        <v>0</v>
      </c>
      <c r="F28" s="1386">
        <v>0.9</v>
      </c>
      <c r="G28" s="1386">
        <v>0.03</v>
      </c>
      <c r="H28" s="1386">
        <v>0.03</v>
      </c>
      <c r="I28" s="1386">
        <v>1</v>
      </c>
      <c r="J28" s="1098">
        <f t="shared" si="1"/>
        <v>0</v>
      </c>
      <c r="K28" s="23"/>
      <c r="L28" s="20"/>
      <c r="M28" s="11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row>
    <row r="29" spans="2:57" s="117" customFormat="1" ht="13.5" thickBot="1" x14ac:dyDescent="0.25">
      <c r="B29" s="2401"/>
      <c r="C29" s="2418" t="s">
        <v>302</v>
      </c>
      <c r="D29" s="2419"/>
      <c r="E29" s="2419"/>
      <c r="F29" s="2419"/>
      <c r="G29" s="2419"/>
      <c r="H29" s="2419"/>
      <c r="I29" s="2419"/>
      <c r="J29" s="539">
        <f>D22*(SUM(J23:J28)*(44/12))</f>
        <v>0</v>
      </c>
      <c r="K29" s="20"/>
    </row>
    <row r="30" spans="2:57" s="117" customFormat="1" ht="63.75" customHeight="1" x14ac:dyDescent="0.2">
      <c r="B30" s="2408" t="s">
        <v>158</v>
      </c>
      <c r="C30" s="2207"/>
      <c r="D30" s="2207"/>
      <c r="E30" s="2207"/>
      <c r="F30" s="2409"/>
      <c r="G30" s="537" t="s">
        <v>156</v>
      </c>
      <c r="I30" s="21"/>
      <c r="J30" s="20"/>
    </row>
    <row r="31" spans="2:57" s="117" customFormat="1" ht="17.25" customHeight="1" thickBot="1" x14ac:dyDescent="0.25">
      <c r="B31" s="2410" t="s">
        <v>155</v>
      </c>
      <c r="C31" s="2172"/>
      <c r="D31" s="2172"/>
      <c r="E31" s="2172"/>
      <c r="F31" s="2411"/>
      <c r="G31" s="548" t="s">
        <v>157</v>
      </c>
      <c r="I31" s="21"/>
      <c r="J31" s="20"/>
    </row>
    <row r="32" spans="2:57" s="117" customFormat="1" x14ac:dyDescent="0.2">
      <c r="D32" s="20"/>
      <c r="E32" s="161"/>
      <c r="I32" s="21"/>
      <c r="J32" s="23"/>
      <c r="K32" s="20"/>
    </row>
    <row r="33" spans="2:11" s="117" customFormat="1" ht="301.5" customHeight="1" x14ac:dyDescent="0.2">
      <c r="D33" s="20"/>
      <c r="E33" s="161"/>
      <c r="I33" s="21"/>
      <c r="J33" s="23"/>
      <c r="K33" s="20"/>
    </row>
    <row r="34" spans="2:11" s="117" customFormat="1" ht="13.5" thickBot="1" x14ac:dyDescent="0.25">
      <c r="D34" s="20"/>
      <c r="E34" s="161"/>
      <c r="I34" s="21"/>
      <c r="J34" s="23"/>
      <c r="K34" s="20"/>
    </row>
    <row r="35" spans="2:11" s="117" customFormat="1" ht="15" customHeight="1" thickBot="1" x14ac:dyDescent="0.25">
      <c r="B35" s="2012" t="s">
        <v>385</v>
      </c>
      <c r="C35" s="1965"/>
      <c r="D35" s="1965"/>
      <c r="E35" s="1965"/>
      <c r="F35" s="1965"/>
      <c r="G35" s="1965"/>
      <c r="H35" s="1966"/>
      <c r="I35" s="21"/>
      <c r="J35" s="23"/>
      <c r="K35" s="20"/>
    </row>
    <row r="36" spans="2:11" s="117" customFormat="1" ht="71.25" customHeight="1" x14ac:dyDescent="0.2">
      <c r="B36" s="84" t="s">
        <v>110</v>
      </c>
      <c r="C36" s="164" t="s">
        <v>153</v>
      </c>
      <c r="D36" s="140" t="s">
        <v>151</v>
      </c>
      <c r="E36" s="140" t="s">
        <v>147</v>
      </c>
      <c r="F36" s="140" t="s">
        <v>159</v>
      </c>
      <c r="G36" s="140" t="s">
        <v>162</v>
      </c>
      <c r="H36" s="2133" t="s">
        <v>34</v>
      </c>
      <c r="I36" s="21"/>
      <c r="J36" s="23"/>
      <c r="K36" s="20"/>
    </row>
    <row r="37" spans="2:11" s="117" customFormat="1" ht="25.5" x14ac:dyDescent="0.2">
      <c r="B37" s="91" t="s">
        <v>172</v>
      </c>
      <c r="C37" s="165" t="s">
        <v>152</v>
      </c>
      <c r="D37" s="162" t="s">
        <v>149</v>
      </c>
      <c r="E37" s="162" t="s">
        <v>148</v>
      </c>
      <c r="F37" s="162" t="s">
        <v>44</v>
      </c>
      <c r="G37" s="162" t="s">
        <v>45</v>
      </c>
      <c r="H37" s="2415"/>
      <c r="I37" s="21"/>
      <c r="J37" s="23"/>
      <c r="K37" s="20"/>
    </row>
    <row r="38" spans="2:11" s="117" customFormat="1" ht="12.75" customHeight="1" x14ac:dyDescent="0.2">
      <c r="B38" s="2406" t="s">
        <v>169</v>
      </c>
      <c r="C38" s="168" t="s">
        <v>150</v>
      </c>
      <c r="D38" s="547">
        <f>'Waste-Solid Waste Disposal'!C19*'Waste-Solid Waste Disposal'!E32+'Waste-Solid Waste Disposal'!C20*'Waste-Solid Waste Disposal'!E32</f>
        <v>0</v>
      </c>
      <c r="E38" s="160"/>
      <c r="F38" s="160"/>
      <c r="G38" s="160"/>
      <c r="H38" s="160"/>
      <c r="I38" s="21"/>
      <c r="J38" s="23"/>
      <c r="K38" s="20"/>
    </row>
    <row r="39" spans="2:11" s="117" customFormat="1" x14ac:dyDescent="0.2">
      <c r="B39" s="2407"/>
      <c r="C39" s="72" t="s">
        <v>21</v>
      </c>
      <c r="D39" s="163"/>
      <c r="E39" s="174">
        <f>'Waste-Solid Waste Disposal'!F51</f>
        <v>0.26052530690061121</v>
      </c>
      <c r="F39" s="545">
        <f t="shared" ref="F39:F44" si="2">$D$53*E39</f>
        <v>0</v>
      </c>
      <c r="G39" s="1387">
        <v>0.2</v>
      </c>
      <c r="H39" s="1103">
        <f>(F39*G39)*'Emission Factors'!$D$138</f>
        <v>0</v>
      </c>
      <c r="I39" s="21"/>
      <c r="J39" s="23"/>
      <c r="K39" s="20"/>
    </row>
    <row r="40" spans="2:11" s="117" customFormat="1" x14ac:dyDescent="0.2">
      <c r="B40" s="2407"/>
      <c r="C40" s="72" t="s">
        <v>22</v>
      </c>
      <c r="D40" s="163"/>
      <c r="E40" s="174">
        <f>'Waste-Solid Waste Disposal'!F52</f>
        <v>5.2873551390378921E-2</v>
      </c>
      <c r="F40" s="545">
        <f t="shared" si="2"/>
        <v>0</v>
      </c>
      <c r="G40" s="1387">
        <v>0.2</v>
      </c>
      <c r="H40" s="1103">
        <f>(F40*G40)*'Emission Factors'!$D$138</f>
        <v>0</v>
      </c>
      <c r="I40" s="21"/>
      <c r="J40" s="23"/>
      <c r="K40" s="20"/>
    </row>
    <row r="41" spans="2:11" s="117" customFormat="1" x14ac:dyDescent="0.2">
      <c r="B41" s="2407"/>
      <c r="C41" s="72" t="s">
        <v>23</v>
      </c>
      <c r="D41" s="163"/>
      <c r="E41" s="174">
        <f>'Waste-Solid Waste Disposal'!F53</f>
        <v>0.21738806637036237</v>
      </c>
      <c r="F41" s="545">
        <f t="shared" si="2"/>
        <v>0</v>
      </c>
      <c r="G41" s="1387">
        <v>0.2</v>
      </c>
      <c r="H41" s="1103">
        <f>(F41*G41)*'Emission Factors'!$D$138</f>
        <v>0</v>
      </c>
      <c r="I41" s="21"/>
      <c r="J41" s="23"/>
      <c r="K41" s="20"/>
    </row>
    <row r="42" spans="2:11" s="117" customFormat="1" x14ac:dyDescent="0.2">
      <c r="B42" s="2407"/>
      <c r="C42" s="72" t="s">
        <v>24</v>
      </c>
      <c r="D42" s="163"/>
      <c r="E42" s="174">
        <f>'Waste-Solid Waste Disposal'!F54</f>
        <v>7.6242799014414941E-2</v>
      </c>
      <c r="F42" s="545">
        <f t="shared" si="2"/>
        <v>0</v>
      </c>
      <c r="G42" s="1387">
        <v>0.2</v>
      </c>
      <c r="H42" s="1103">
        <f>(F42*G42)*'Emission Factors'!$D$138</f>
        <v>0</v>
      </c>
      <c r="I42" s="21"/>
      <c r="J42" s="23"/>
      <c r="K42" s="20"/>
    </row>
    <row r="43" spans="2:11" s="117" customFormat="1" x14ac:dyDescent="0.2">
      <c r="B43" s="2407"/>
      <c r="C43" s="72" t="s">
        <v>25</v>
      </c>
      <c r="D43" s="163"/>
      <c r="E43" s="174">
        <f>'Waste-Solid Waste Disposal'!F55</f>
        <v>5.8358097308840798E-2</v>
      </c>
      <c r="F43" s="545">
        <f t="shared" si="2"/>
        <v>0</v>
      </c>
      <c r="G43" s="1387">
        <v>0.2</v>
      </c>
      <c r="H43" s="1103">
        <f>(F43*G43)*'Emission Factors'!$D$138</f>
        <v>0</v>
      </c>
      <c r="I43" s="21"/>
      <c r="J43" s="23"/>
      <c r="K43" s="20"/>
    </row>
    <row r="44" spans="2:11" s="117" customFormat="1" x14ac:dyDescent="0.2">
      <c r="B44" s="2407"/>
      <c r="C44" s="72" t="s">
        <v>26</v>
      </c>
      <c r="D44" s="163"/>
      <c r="E44" s="174">
        <f>'Waste-Solid Waste Disposal'!F56</f>
        <v>0</v>
      </c>
      <c r="F44" s="545">
        <f t="shared" si="2"/>
        <v>0</v>
      </c>
      <c r="G44" s="1387">
        <v>0.2</v>
      </c>
      <c r="H44" s="1103">
        <f>(F44*G44)*'Emission Factors'!$D$138</f>
        <v>0</v>
      </c>
      <c r="I44" s="21"/>
      <c r="J44" s="23"/>
      <c r="K44" s="20"/>
    </row>
    <row r="45" spans="2:11" s="117" customFormat="1" ht="13.5" thickBot="1" x14ac:dyDescent="0.25">
      <c r="B45" s="2407"/>
      <c r="C45" s="2416" t="s">
        <v>301</v>
      </c>
      <c r="D45" s="2417"/>
      <c r="E45" s="2417"/>
      <c r="F45" s="2417"/>
      <c r="G45" s="2417"/>
      <c r="H45" s="546">
        <f>SUM(H39:H44)</f>
        <v>0</v>
      </c>
      <c r="I45" s="21"/>
      <c r="J45" s="23"/>
      <c r="K45" s="20"/>
    </row>
    <row r="46" spans="2:11" s="117" customFormat="1" ht="45.75" customHeight="1" thickBot="1" x14ac:dyDescent="0.25">
      <c r="B46" s="2216" t="s">
        <v>258</v>
      </c>
      <c r="C46" s="2404"/>
      <c r="D46" s="2404"/>
      <c r="E46" s="2404"/>
      <c r="F46" s="2405"/>
      <c r="G46" s="549" t="s">
        <v>163</v>
      </c>
      <c r="H46" s="1124" t="s">
        <v>1203</v>
      </c>
      <c r="I46" s="21"/>
      <c r="J46" s="23"/>
      <c r="K46" s="20"/>
    </row>
    <row r="47" spans="2:11" s="117" customFormat="1" x14ac:dyDescent="0.2">
      <c r="D47" s="20"/>
      <c r="I47" s="21"/>
      <c r="J47" s="23"/>
      <c r="K47" s="20"/>
    </row>
    <row r="48" spans="2:11" s="117" customFormat="1" ht="229.5" customHeight="1" x14ac:dyDescent="0.2">
      <c r="D48" s="20"/>
      <c r="I48" s="21"/>
      <c r="J48" s="23"/>
      <c r="K48" s="20"/>
    </row>
    <row r="49" spans="2:14" s="117" customFormat="1" ht="12.75" customHeight="1" thickBot="1" x14ac:dyDescent="0.25">
      <c r="D49" s="20"/>
      <c r="I49" s="21"/>
      <c r="J49" s="23"/>
      <c r="K49" s="20"/>
    </row>
    <row r="50" spans="2:14" s="117" customFormat="1" ht="15" customHeight="1" thickBot="1" x14ac:dyDescent="0.25">
      <c r="B50" s="2012" t="s">
        <v>386</v>
      </c>
      <c r="C50" s="1965"/>
      <c r="D50" s="1965"/>
      <c r="E50" s="1965"/>
      <c r="F50" s="1965"/>
      <c r="G50" s="1965"/>
      <c r="H50" s="1966"/>
      <c r="J50" s="21"/>
      <c r="K50" s="23"/>
      <c r="L50" s="20"/>
    </row>
    <row r="51" spans="2:14" s="117" customFormat="1" ht="81.75" customHeight="1" x14ac:dyDescent="0.2">
      <c r="B51" s="354" t="s">
        <v>110</v>
      </c>
      <c r="C51" s="164" t="s">
        <v>153</v>
      </c>
      <c r="D51" s="140" t="s">
        <v>151</v>
      </c>
      <c r="E51" s="140" t="s">
        <v>147</v>
      </c>
      <c r="F51" s="140" t="s">
        <v>159</v>
      </c>
      <c r="G51" s="140" t="s">
        <v>165</v>
      </c>
      <c r="H51" s="2133" t="s">
        <v>160</v>
      </c>
      <c r="J51" s="21"/>
      <c r="K51" s="23"/>
      <c r="L51" s="20"/>
    </row>
    <row r="52" spans="2:14" s="117" customFormat="1" ht="25.5" x14ac:dyDescent="0.2">
      <c r="B52" s="357" t="s">
        <v>171</v>
      </c>
      <c r="C52" s="165" t="s">
        <v>152</v>
      </c>
      <c r="D52" s="162" t="s">
        <v>149</v>
      </c>
      <c r="E52" s="162" t="s">
        <v>148</v>
      </c>
      <c r="F52" s="162" t="s">
        <v>44</v>
      </c>
      <c r="G52" s="162" t="s">
        <v>45</v>
      </c>
      <c r="H52" s="2415"/>
      <c r="I52" s="47"/>
      <c r="L52" s="21"/>
      <c r="M52" s="23"/>
      <c r="N52" s="20"/>
    </row>
    <row r="53" spans="2:14" s="117" customFormat="1" x14ac:dyDescent="0.2">
      <c r="B53" s="2412" t="s">
        <v>169</v>
      </c>
      <c r="C53" s="166" t="s">
        <v>150</v>
      </c>
      <c r="D53" s="547">
        <f>'Waste-Solid Waste Disposal'!C19*'Waste-Solid Waste Disposal'!E32+'Waste-Solid Waste Disposal'!C20*'Waste-Solid Waste Disposal'!E32</f>
        <v>0</v>
      </c>
      <c r="E53" s="160"/>
      <c r="F53" s="160"/>
      <c r="G53" s="160"/>
      <c r="H53" s="398"/>
      <c r="I53" s="47"/>
      <c r="L53" s="21"/>
      <c r="M53" s="23"/>
      <c r="N53" s="20"/>
    </row>
    <row r="54" spans="2:14" s="117" customFormat="1" x14ac:dyDescent="0.2">
      <c r="B54" s="2413"/>
      <c r="C54" s="167" t="s">
        <v>21</v>
      </c>
      <c r="D54" s="163"/>
      <c r="E54" s="174">
        <f>'Waste-Solid Waste Disposal'!F51</f>
        <v>0.26052530690061121</v>
      </c>
      <c r="F54" s="545">
        <f t="shared" ref="F54:F59" si="3">$D$53*E54</f>
        <v>0</v>
      </c>
      <c r="G54" s="545">
        <v>50</v>
      </c>
      <c r="H54" s="1103">
        <f>(F54*G54)*'Emission Factors'!$D$138</f>
        <v>0</v>
      </c>
      <c r="I54" s="26"/>
      <c r="L54" s="21"/>
      <c r="M54" s="23"/>
      <c r="N54" s="20"/>
    </row>
    <row r="55" spans="2:14" s="117" customFormat="1" x14ac:dyDescent="0.2">
      <c r="B55" s="2413"/>
      <c r="C55" s="167" t="s">
        <v>22</v>
      </c>
      <c r="D55" s="163"/>
      <c r="E55" s="174">
        <f>'Waste-Solid Waste Disposal'!F52</f>
        <v>5.2873551390378921E-2</v>
      </c>
      <c r="F55" s="545">
        <f t="shared" si="3"/>
        <v>0</v>
      </c>
      <c r="G55" s="545">
        <v>50</v>
      </c>
      <c r="H55" s="1103">
        <f>(F55*G55)*'Emission Factors'!$D$138</f>
        <v>0</v>
      </c>
      <c r="I55" s="26"/>
      <c r="L55" s="21"/>
      <c r="M55" s="23"/>
      <c r="N55" s="20"/>
    </row>
    <row r="56" spans="2:14" s="117" customFormat="1" x14ac:dyDescent="0.2">
      <c r="B56" s="2413"/>
      <c r="C56" s="167" t="s">
        <v>23</v>
      </c>
      <c r="D56" s="163"/>
      <c r="E56" s="174">
        <f>'Waste-Solid Waste Disposal'!F53</f>
        <v>0.21738806637036237</v>
      </c>
      <c r="F56" s="545">
        <f t="shared" si="3"/>
        <v>0</v>
      </c>
      <c r="G56" s="545">
        <v>50</v>
      </c>
      <c r="H56" s="1103">
        <f>(F56*G56)*'Emission Factors'!$D$138</f>
        <v>0</v>
      </c>
      <c r="I56" s="26"/>
      <c r="L56" s="21"/>
      <c r="M56" s="23"/>
      <c r="N56" s="20"/>
    </row>
    <row r="57" spans="2:14" s="117" customFormat="1" x14ac:dyDescent="0.2">
      <c r="B57" s="2413"/>
      <c r="C57" s="167" t="s">
        <v>24</v>
      </c>
      <c r="D57" s="163"/>
      <c r="E57" s="174">
        <f>'Waste-Solid Waste Disposal'!F54</f>
        <v>7.6242799014414941E-2</v>
      </c>
      <c r="F57" s="545">
        <f t="shared" si="3"/>
        <v>0</v>
      </c>
      <c r="G57" s="545">
        <v>50</v>
      </c>
      <c r="H57" s="1103">
        <f>(F57*G57)*'Emission Factors'!$D$138</f>
        <v>0</v>
      </c>
      <c r="I57" s="26"/>
      <c r="L57" s="21"/>
      <c r="M57" s="23"/>
      <c r="N57" s="20"/>
    </row>
    <row r="58" spans="2:14" s="117" customFormat="1" x14ac:dyDescent="0.2">
      <c r="B58" s="2413"/>
      <c r="C58" s="167" t="s">
        <v>25</v>
      </c>
      <c r="D58" s="163"/>
      <c r="E58" s="174">
        <f>'Waste-Solid Waste Disposal'!F55</f>
        <v>5.8358097308840798E-2</v>
      </c>
      <c r="F58" s="545">
        <f t="shared" si="3"/>
        <v>0</v>
      </c>
      <c r="G58" s="545">
        <v>50</v>
      </c>
      <c r="H58" s="1103">
        <f>(F58*G58)*'Emission Factors'!$D$138</f>
        <v>0</v>
      </c>
      <c r="I58" s="26"/>
      <c r="L58" s="21"/>
      <c r="M58" s="23"/>
      <c r="N58" s="20"/>
    </row>
    <row r="59" spans="2:14" s="117" customFormat="1" x14ac:dyDescent="0.2">
      <c r="B59" s="2413"/>
      <c r="C59" s="167" t="s">
        <v>26</v>
      </c>
      <c r="D59" s="163"/>
      <c r="E59" s="174">
        <f>'Waste-Solid Waste Disposal'!F56</f>
        <v>0</v>
      </c>
      <c r="F59" s="545">
        <f t="shared" si="3"/>
        <v>0</v>
      </c>
      <c r="G59" s="545">
        <v>50</v>
      </c>
      <c r="H59" s="1103">
        <f>(F59*G59)*'Emission Factors'!$D$138</f>
        <v>0</v>
      </c>
      <c r="I59" s="26"/>
      <c r="L59" s="21"/>
      <c r="M59" s="23"/>
      <c r="N59" s="20"/>
    </row>
    <row r="60" spans="2:14" s="117" customFormat="1" ht="13.5" thickBot="1" x14ac:dyDescent="0.25">
      <c r="B60" s="2414"/>
      <c r="C60" s="2420" t="s">
        <v>300</v>
      </c>
      <c r="D60" s="2421"/>
      <c r="E60" s="2421"/>
      <c r="F60" s="2421"/>
      <c r="G60" s="2421"/>
      <c r="H60" s="406">
        <f>SUM(H54:H59)</f>
        <v>0</v>
      </c>
      <c r="I60" s="26"/>
      <c r="L60" s="21"/>
      <c r="M60" s="23"/>
      <c r="N60" s="20"/>
    </row>
    <row r="61" spans="2:14" s="117" customFormat="1" ht="28.5" customHeight="1" thickBot="1" x14ac:dyDescent="0.25">
      <c r="B61" s="2216" t="s">
        <v>1159</v>
      </c>
      <c r="C61" s="2404"/>
      <c r="D61" s="2404"/>
      <c r="E61" s="2404"/>
      <c r="F61" s="2405"/>
      <c r="G61" s="548" t="s">
        <v>161</v>
      </c>
      <c r="L61" s="21"/>
      <c r="M61" s="23"/>
      <c r="N61" s="20"/>
    </row>
    <row r="62" spans="2:14" s="117" customFormat="1" x14ac:dyDescent="0.2">
      <c r="L62" s="21"/>
      <c r="M62" s="23"/>
      <c r="N62" s="20"/>
    </row>
    <row r="63" spans="2:14" s="117" customFormat="1" ht="247.5" customHeight="1" x14ac:dyDescent="0.2">
      <c r="F63" s="20"/>
      <c r="K63" s="21"/>
      <c r="L63" s="23"/>
      <c r="M63" s="20"/>
    </row>
    <row r="64" spans="2:14" s="117" customFormat="1" ht="12.75" customHeight="1" x14ac:dyDescent="0.2">
      <c r="J64" s="21"/>
      <c r="K64" s="23"/>
      <c r="L64" s="20"/>
    </row>
    <row r="65" spans="1:41" s="117" customFormat="1" x14ac:dyDescent="0.2">
      <c r="I65" s="21"/>
      <c r="J65" s="23"/>
      <c r="K65" s="20"/>
    </row>
    <row r="66" spans="1:41" s="117" customFormat="1" ht="12.75" customHeight="1" x14ac:dyDescent="0.2">
      <c r="I66" s="21"/>
      <c r="J66" s="23"/>
      <c r="K66" s="20"/>
    </row>
    <row r="67" spans="1:41" s="117" customFormat="1" ht="12.75" customHeight="1" x14ac:dyDescent="0.2">
      <c r="I67" s="21"/>
      <c r="J67" s="23"/>
      <c r="K67" s="20"/>
    </row>
    <row r="68" spans="1:41" s="37" customFormat="1" ht="12.75" customHeight="1" x14ac:dyDescent="0.2">
      <c r="A68" s="117"/>
      <c r="B68" s="117"/>
      <c r="I68" s="21"/>
      <c r="J68" s="22"/>
      <c r="K68" s="20"/>
    </row>
    <row r="69" spans="1:41" s="37" customFormat="1" ht="12.75" customHeight="1" x14ac:dyDescent="0.2">
      <c r="A69" s="117"/>
      <c r="B69" s="117"/>
      <c r="I69" s="21"/>
      <c r="J69" s="22"/>
      <c r="K69" s="20"/>
    </row>
    <row r="70" spans="1:41" s="37" customFormat="1" ht="12.75" customHeight="1" x14ac:dyDescent="0.2">
      <c r="A70" s="117"/>
      <c r="B70" s="117"/>
      <c r="I70" s="21"/>
      <c r="J70" s="23"/>
      <c r="K70" s="20"/>
    </row>
    <row r="71" spans="1:41" s="37" customFormat="1" x14ac:dyDescent="0.2">
      <c r="A71" s="117"/>
      <c r="B71" s="117"/>
      <c r="O71" s="117"/>
      <c r="P71" s="117"/>
      <c r="Q71" s="117"/>
      <c r="R71" s="117"/>
      <c r="S71" s="117"/>
      <c r="T71" s="117"/>
      <c r="U71" s="117"/>
      <c r="V71" s="117"/>
      <c r="W71" s="117"/>
      <c r="X71" s="117"/>
      <c r="Y71" s="117"/>
      <c r="Z71" s="117"/>
      <c r="AA71" s="4"/>
      <c r="AB71" s="4"/>
      <c r="AC71" s="4"/>
      <c r="AD71" s="4"/>
      <c r="AE71" s="4"/>
      <c r="AF71" s="4"/>
      <c r="AG71" s="4"/>
      <c r="AH71" s="4"/>
      <c r="AI71" s="4"/>
      <c r="AJ71" s="4"/>
      <c r="AK71" s="4"/>
      <c r="AL71" s="4"/>
      <c r="AM71" s="4"/>
      <c r="AN71" s="4"/>
      <c r="AO71" s="4"/>
    </row>
    <row r="72" spans="1:41" s="37" customFormat="1" x14ac:dyDescent="0.2">
      <c r="A72" s="117"/>
      <c r="B72" s="117"/>
      <c r="O72" s="117"/>
      <c r="P72" s="117"/>
      <c r="Q72" s="117"/>
      <c r="R72" s="117"/>
      <c r="S72" s="117"/>
      <c r="T72" s="117"/>
      <c r="U72" s="117"/>
      <c r="V72" s="117"/>
      <c r="W72" s="117"/>
      <c r="X72" s="117"/>
      <c r="Y72" s="117"/>
      <c r="Z72" s="117"/>
      <c r="AA72" s="4"/>
      <c r="AB72" s="4"/>
      <c r="AC72" s="4"/>
      <c r="AD72" s="4"/>
      <c r="AE72" s="4"/>
      <c r="AF72" s="4"/>
      <c r="AG72" s="4"/>
      <c r="AH72" s="4"/>
      <c r="AI72" s="4"/>
      <c r="AJ72" s="4"/>
      <c r="AK72" s="4"/>
      <c r="AL72" s="4"/>
      <c r="AM72" s="4"/>
      <c r="AN72" s="4"/>
      <c r="AO72" s="4"/>
    </row>
    <row r="73" spans="1:41" s="37" customFormat="1" x14ac:dyDescent="0.2">
      <c r="A73" s="117"/>
      <c r="B73" s="117"/>
      <c r="O73" s="117"/>
      <c r="P73" s="117"/>
      <c r="Q73" s="117"/>
      <c r="R73" s="117"/>
      <c r="S73" s="117"/>
      <c r="T73" s="117"/>
      <c r="U73" s="117"/>
      <c r="V73" s="117"/>
      <c r="W73" s="117"/>
      <c r="X73" s="117"/>
      <c r="Y73" s="117"/>
      <c r="Z73" s="117"/>
      <c r="AA73" s="4"/>
      <c r="AB73" s="4"/>
      <c r="AC73" s="4"/>
      <c r="AD73" s="4"/>
      <c r="AE73" s="4"/>
      <c r="AF73" s="4"/>
      <c r="AG73" s="4"/>
      <c r="AH73" s="4"/>
      <c r="AI73" s="4"/>
      <c r="AJ73" s="4"/>
      <c r="AK73" s="4"/>
      <c r="AL73" s="4"/>
      <c r="AM73" s="4"/>
      <c r="AN73" s="4"/>
      <c r="AO73" s="4"/>
    </row>
    <row r="74" spans="1:41" s="37" customFormat="1" x14ac:dyDescent="0.2">
      <c r="A74" s="117"/>
      <c r="B74" s="117"/>
      <c r="O74" s="117"/>
      <c r="P74" s="117"/>
      <c r="Q74" s="117"/>
      <c r="R74" s="117"/>
      <c r="S74" s="117"/>
      <c r="T74" s="117"/>
      <c r="U74" s="117"/>
      <c r="V74" s="117"/>
      <c r="W74" s="117"/>
      <c r="X74" s="117"/>
      <c r="Y74" s="117"/>
      <c r="Z74" s="117"/>
      <c r="AA74" s="4"/>
      <c r="AB74" s="4"/>
      <c r="AC74" s="4"/>
      <c r="AD74" s="4"/>
      <c r="AE74" s="4"/>
      <c r="AF74" s="4"/>
      <c r="AG74" s="4"/>
      <c r="AH74" s="4"/>
      <c r="AI74" s="4"/>
      <c r="AJ74" s="4"/>
      <c r="AK74" s="4"/>
      <c r="AL74" s="4"/>
      <c r="AM74" s="4"/>
      <c r="AN74" s="4"/>
      <c r="AO74" s="4"/>
    </row>
    <row r="75" spans="1:41" s="37" customFormat="1" x14ac:dyDescent="0.2">
      <c r="A75" s="117"/>
      <c r="B75" s="117"/>
      <c r="O75" s="117"/>
      <c r="P75" s="117"/>
      <c r="Q75" s="117"/>
      <c r="R75" s="117"/>
      <c r="S75" s="117"/>
      <c r="T75" s="117"/>
      <c r="U75" s="117"/>
      <c r="V75" s="117"/>
      <c r="W75" s="117"/>
      <c r="X75" s="117"/>
      <c r="Y75" s="117"/>
      <c r="Z75" s="117"/>
      <c r="AA75" s="4"/>
      <c r="AB75" s="4"/>
      <c r="AC75" s="4"/>
      <c r="AD75" s="4"/>
      <c r="AE75" s="4"/>
      <c r="AF75" s="4"/>
      <c r="AG75" s="4"/>
      <c r="AH75" s="4"/>
      <c r="AI75" s="4"/>
      <c r="AJ75" s="4"/>
      <c r="AK75" s="4"/>
      <c r="AL75" s="4"/>
      <c r="AM75" s="4"/>
      <c r="AN75" s="4"/>
      <c r="AO75" s="4"/>
    </row>
    <row r="76" spans="1:41" s="37" customFormat="1" x14ac:dyDescent="0.2">
      <c r="A76" s="117"/>
      <c r="B76" s="117"/>
      <c r="O76" s="117"/>
      <c r="P76" s="117"/>
      <c r="Q76" s="117"/>
      <c r="R76" s="117"/>
      <c r="S76" s="117"/>
      <c r="T76" s="117"/>
      <c r="U76" s="117"/>
      <c r="V76" s="117"/>
      <c r="W76" s="117"/>
      <c r="X76" s="117"/>
      <c r="Y76" s="117"/>
      <c r="Z76" s="117"/>
      <c r="AA76" s="4"/>
      <c r="AB76" s="4"/>
      <c r="AC76" s="4"/>
      <c r="AD76" s="4"/>
      <c r="AE76" s="4"/>
      <c r="AF76" s="4"/>
      <c r="AG76" s="4"/>
      <c r="AH76" s="4"/>
      <c r="AI76" s="4"/>
      <c r="AJ76" s="4"/>
      <c r="AK76" s="4"/>
      <c r="AL76" s="4"/>
      <c r="AM76" s="4"/>
      <c r="AN76" s="4"/>
      <c r="AO76" s="4"/>
    </row>
    <row r="77" spans="1:41" s="37" customFormat="1" x14ac:dyDescent="0.2">
      <c r="A77" s="117"/>
      <c r="B77" s="117"/>
      <c r="O77" s="117"/>
      <c r="P77" s="117"/>
      <c r="Q77" s="117"/>
      <c r="R77" s="117"/>
      <c r="S77" s="117"/>
      <c r="T77" s="117"/>
      <c r="U77" s="117"/>
      <c r="V77" s="117"/>
      <c r="W77" s="117"/>
      <c r="X77" s="117"/>
      <c r="Y77" s="117"/>
      <c r="Z77" s="117"/>
      <c r="AA77" s="4"/>
      <c r="AB77" s="4"/>
      <c r="AC77" s="4"/>
      <c r="AD77" s="4"/>
      <c r="AE77" s="4"/>
      <c r="AF77" s="4"/>
      <c r="AG77" s="4"/>
      <c r="AH77" s="4"/>
      <c r="AI77" s="4"/>
      <c r="AJ77" s="4"/>
      <c r="AK77" s="4"/>
      <c r="AL77" s="4"/>
      <c r="AM77" s="4"/>
      <c r="AN77" s="4"/>
      <c r="AO77" s="4"/>
    </row>
    <row r="78" spans="1:41" s="37" customFormat="1" x14ac:dyDescent="0.2">
      <c r="A78" s="117"/>
      <c r="B78" s="117"/>
      <c r="O78" s="117"/>
      <c r="P78" s="117"/>
      <c r="Q78" s="117"/>
      <c r="R78" s="117"/>
      <c r="S78" s="117"/>
      <c r="T78" s="117"/>
      <c r="U78" s="117"/>
      <c r="V78" s="117"/>
      <c r="W78" s="117"/>
      <c r="X78" s="117"/>
      <c r="Y78" s="117"/>
      <c r="Z78" s="117"/>
      <c r="AA78" s="4"/>
      <c r="AB78" s="4"/>
      <c r="AC78" s="4"/>
      <c r="AD78" s="4"/>
      <c r="AE78" s="4"/>
      <c r="AF78" s="4"/>
      <c r="AG78" s="4"/>
      <c r="AH78" s="4"/>
      <c r="AI78" s="4"/>
      <c r="AJ78" s="4"/>
      <c r="AK78" s="4"/>
      <c r="AL78" s="4"/>
      <c r="AM78" s="4"/>
      <c r="AN78" s="4"/>
      <c r="AO78" s="4"/>
    </row>
    <row r="79" spans="1:41" s="37" customFormat="1" x14ac:dyDescent="0.2">
      <c r="A79" s="117"/>
      <c r="B79" s="117"/>
      <c r="O79" s="117"/>
      <c r="P79" s="117"/>
      <c r="Q79" s="117"/>
      <c r="R79" s="117"/>
      <c r="S79" s="117"/>
      <c r="T79" s="117"/>
      <c r="U79" s="117"/>
      <c r="V79" s="117"/>
      <c r="W79" s="117"/>
      <c r="X79" s="117"/>
      <c r="Y79" s="117"/>
      <c r="Z79" s="117"/>
      <c r="AA79" s="4"/>
      <c r="AB79" s="4"/>
      <c r="AC79" s="4"/>
      <c r="AD79" s="4"/>
      <c r="AE79" s="4"/>
      <c r="AF79" s="4"/>
      <c r="AG79" s="4"/>
      <c r="AH79" s="4"/>
      <c r="AI79" s="4"/>
      <c r="AJ79" s="4"/>
      <c r="AK79" s="4"/>
      <c r="AL79" s="4"/>
      <c r="AM79" s="4"/>
      <c r="AN79" s="4"/>
      <c r="AO79" s="4"/>
    </row>
    <row r="80" spans="1:41" s="37" customFormat="1" x14ac:dyDescent="0.2">
      <c r="A80" s="117"/>
      <c r="B80" s="117"/>
      <c r="O80" s="117"/>
      <c r="P80" s="117"/>
      <c r="Q80" s="117"/>
      <c r="R80" s="117"/>
      <c r="S80" s="117"/>
      <c r="T80" s="117"/>
      <c r="U80" s="117"/>
      <c r="V80" s="117"/>
      <c r="W80" s="117"/>
      <c r="X80" s="117"/>
      <c r="Y80" s="117"/>
      <c r="Z80" s="117"/>
      <c r="AA80" s="4"/>
      <c r="AB80" s="4"/>
      <c r="AC80" s="4"/>
      <c r="AD80" s="4"/>
      <c r="AE80" s="4"/>
      <c r="AF80" s="4"/>
      <c r="AG80" s="4"/>
      <c r="AH80" s="4"/>
      <c r="AI80" s="4"/>
      <c r="AJ80" s="4"/>
      <c r="AK80" s="4"/>
      <c r="AL80" s="4"/>
      <c r="AM80" s="4"/>
      <c r="AN80" s="4"/>
      <c r="AO80" s="4"/>
    </row>
    <row r="81" spans="1:41" s="37" customFormat="1" x14ac:dyDescent="0.2">
      <c r="A81" s="117"/>
      <c r="B81" s="117"/>
      <c r="O81" s="117"/>
      <c r="P81" s="117"/>
      <c r="Q81" s="117"/>
      <c r="R81" s="117"/>
      <c r="S81" s="117"/>
      <c r="T81" s="117"/>
      <c r="U81" s="117"/>
      <c r="V81" s="117"/>
      <c r="W81" s="117"/>
      <c r="X81" s="117"/>
      <c r="Y81" s="117"/>
      <c r="Z81" s="117"/>
      <c r="AA81" s="4"/>
      <c r="AB81" s="4"/>
      <c r="AC81" s="4"/>
      <c r="AD81" s="4"/>
      <c r="AE81" s="4"/>
      <c r="AF81" s="4"/>
      <c r="AG81" s="4"/>
      <c r="AH81" s="4"/>
      <c r="AI81" s="4"/>
      <c r="AJ81" s="4"/>
      <c r="AK81" s="4"/>
      <c r="AL81" s="4"/>
      <c r="AM81" s="4"/>
      <c r="AN81" s="4"/>
      <c r="AO81" s="4"/>
    </row>
    <row r="82" spans="1:41" s="37" customFormat="1" x14ac:dyDescent="0.2">
      <c r="A82" s="57"/>
      <c r="N82" s="117"/>
      <c r="O82" s="117"/>
      <c r="P82" s="117"/>
      <c r="Q82" s="117"/>
      <c r="R82" s="117"/>
      <c r="S82" s="117"/>
      <c r="T82" s="117"/>
      <c r="U82" s="117"/>
      <c r="V82" s="117"/>
      <c r="W82" s="117"/>
      <c r="X82" s="117"/>
      <c r="Y82" s="117"/>
      <c r="Z82" s="4"/>
      <c r="AA82" s="4"/>
      <c r="AB82" s="4"/>
      <c r="AC82" s="4"/>
      <c r="AD82" s="4"/>
      <c r="AE82" s="4"/>
      <c r="AF82" s="4"/>
      <c r="AG82" s="4"/>
      <c r="AH82" s="4"/>
      <c r="AI82" s="4"/>
      <c r="AJ82" s="4"/>
      <c r="AK82" s="4"/>
      <c r="AL82" s="4"/>
      <c r="AM82" s="4"/>
      <c r="AN82" s="4"/>
    </row>
    <row r="83" spans="1:41" s="37" customFormat="1" x14ac:dyDescent="0.2">
      <c r="A83" s="57"/>
      <c r="N83" s="117"/>
      <c r="O83" s="117"/>
      <c r="P83" s="117"/>
      <c r="Q83" s="117"/>
      <c r="R83" s="117"/>
      <c r="S83" s="117"/>
      <c r="T83" s="117"/>
      <c r="U83" s="117"/>
      <c r="V83" s="117"/>
      <c r="W83" s="117"/>
      <c r="X83" s="117"/>
      <c r="Y83" s="117"/>
      <c r="Z83" s="4"/>
      <c r="AA83" s="4"/>
      <c r="AB83" s="4"/>
      <c r="AC83" s="4"/>
      <c r="AD83" s="4"/>
      <c r="AE83" s="4"/>
      <c r="AF83" s="4"/>
      <c r="AG83" s="4"/>
      <c r="AH83" s="4"/>
      <c r="AI83" s="4"/>
      <c r="AJ83" s="4"/>
      <c r="AK83" s="4"/>
      <c r="AL83" s="4"/>
      <c r="AM83" s="4"/>
      <c r="AN83" s="4"/>
    </row>
    <row r="84" spans="1:41" s="37" customFormat="1" ht="14.25" x14ac:dyDescent="0.2">
      <c r="A84" s="57"/>
      <c r="N84" s="18"/>
      <c r="O84" s="117"/>
      <c r="P84" s="117"/>
      <c r="Q84" s="117"/>
      <c r="R84" s="117"/>
      <c r="S84" s="117"/>
      <c r="T84" s="18"/>
      <c r="U84" s="117"/>
      <c r="V84" s="117"/>
      <c r="W84" s="117"/>
      <c r="X84" s="117"/>
      <c r="Y84" s="117"/>
      <c r="Z84" s="4"/>
      <c r="AA84" s="4"/>
      <c r="AB84" s="4"/>
      <c r="AC84" s="4"/>
      <c r="AD84" s="4"/>
      <c r="AE84" s="4"/>
      <c r="AF84" s="4"/>
      <c r="AG84" s="4"/>
      <c r="AH84" s="4"/>
      <c r="AI84" s="4"/>
      <c r="AJ84" s="4"/>
      <c r="AK84" s="4"/>
      <c r="AL84" s="4"/>
      <c r="AM84" s="4"/>
      <c r="AN84" s="4"/>
    </row>
    <row r="85" spans="1:41" s="37" customFormat="1" ht="14.25" x14ac:dyDescent="0.2">
      <c r="A85" s="57"/>
      <c r="B85" s="18"/>
      <c r="C85" s="18"/>
      <c r="D85" s="18"/>
      <c r="E85" s="18"/>
      <c r="F85" s="18"/>
      <c r="G85" s="18"/>
      <c r="N85" s="117"/>
      <c r="O85" s="117"/>
      <c r="P85" s="117"/>
      <c r="Q85" s="117"/>
      <c r="R85" s="117"/>
      <c r="S85" s="117"/>
      <c r="T85" s="117"/>
      <c r="U85" s="117"/>
      <c r="V85" s="117"/>
      <c r="W85" s="117"/>
      <c r="X85" s="117"/>
      <c r="Y85" s="117"/>
      <c r="Z85" s="4"/>
      <c r="AA85" s="4"/>
      <c r="AB85" s="4"/>
      <c r="AC85" s="4"/>
      <c r="AD85" s="4"/>
      <c r="AE85" s="4"/>
      <c r="AF85" s="4"/>
      <c r="AG85" s="4"/>
      <c r="AH85" s="4"/>
      <c r="AI85" s="4"/>
      <c r="AJ85" s="4"/>
      <c r="AK85" s="4"/>
      <c r="AL85" s="4"/>
      <c r="AM85" s="4"/>
      <c r="AN85" s="4"/>
    </row>
    <row r="86" spans="1:41" s="37" customFormat="1" x14ac:dyDescent="0.2">
      <c r="A86" s="57"/>
      <c r="N86" s="117"/>
      <c r="O86" s="117"/>
      <c r="P86" s="117"/>
      <c r="Q86" s="117"/>
      <c r="R86" s="117"/>
      <c r="S86" s="117"/>
      <c r="T86" s="117"/>
      <c r="U86" s="117"/>
      <c r="V86" s="117"/>
      <c r="W86" s="117"/>
      <c r="X86" s="117"/>
      <c r="Y86" s="117"/>
      <c r="Z86" s="4"/>
      <c r="AA86" s="4"/>
      <c r="AB86" s="4"/>
      <c r="AC86" s="4"/>
      <c r="AD86" s="4"/>
      <c r="AE86" s="4"/>
      <c r="AF86" s="4"/>
      <c r="AG86" s="4"/>
      <c r="AH86" s="4"/>
      <c r="AI86" s="4"/>
      <c r="AJ86" s="4"/>
      <c r="AK86" s="4"/>
      <c r="AL86" s="4"/>
      <c r="AM86" s="4"/>
      <c r="AN86" s="4"/>
    </row>
    <row r="87" spans="1:41" s="37" customFormat="1" x14ac:dyDescent="0.2">
      <c r="A87" s="57"/>
      <c r="N87" s="117"/>
      <c r="O87" s="117"/>
      <c r="P87" s="117"/>
      <c r="Q87" s="117"/>
      <c r="R87" s="117"/>
      <c r="S87" s="117"/>
      <c r="T87" s="117"/>
      <c r="U87" s="117"/>
      <c r="V87" s="117"/>
      <c r="W87" s="117"/>
      <c r="X87" s="117"/>
      <c r="Y87" s="117"/>
      <c r="Z87" s="4"/>
      <c r="AA87" s="4"/>
      <c r="AB87" s="4"/>
      <c r="AC87" s="4"/>
      <c r="AD87" s="4"/>
      <c r="AE87" s="4"/>
      <c r="AF87" s="4"/>
      <c r="AG87" s="4"/>
      <c r="AH87" s="4"/>
      <c r="AI87" s="4"/>
      <c r="AJ87" s="4"/>
      <c r="AK87" s="4"/>
      <c r="AL87" s="4"/>
      <c r="AM87" s="4"/>
      <c r="AN87" s="4"/>
    </row>
    <row r="88" spans="1:41" s="37" customFormat="1" x14ac:dyDescent="0.2">
      <c r="A88" s="57"/>
      <c r="N88" s="117"/>
      <c r="O88" s="117"/>
      <c r="P88" s="117"/>
      <c r="Q88" s="117"/>
      <c r="R88" s="117"/>
      <c r="S88" s="117"/>
      <c r="T88" s="117"/>
      <c r="U88" s="117"/>
      <c r="V88" s="117"/>
      <c r="W88" s="117"/>
      <c r="X88" s="117"/>
      <c r="Y88" s="117"/>
      <c r="Z88" s="4"/>
      <c r="AA88" s="4"/>
      <c r="AB88" s="4"/>
      <c r="AC88" s="4"/>
      <c r="AD88" s="4"/>
      <c r="AE88" s="4"/>
      <c r="AF88" s="4"/>
      <c r="AG88" s="4"/>
      <c r="AH88" s="4"/>
      <c r="AI88" s="4"/>
      <c r="AJ88" s="4"/>
      <c r="AK88" s="4"/>
      <c r="AL88" s="4"/>
      <c r="AM88" s="4"/>
      <c r="AN88" s="4"/>
    </row>
    <row r="89" spans="1:41" s="37" customFormat="1" x14ac:dyDescent="0.2">
      <c r="A89" s="57"/>
      <c r="N89" s="117"/>
      <c r="O89" s="117"/>
      <c r="P89" s="117"/>
      <c r="Q89" s="117"/>
      <c r="R89" s="117"/>
      <c r="S89" s="117"/>
      <c r="T89" s="117"/>
      <c r="U89" s="117"/>
      <c r="V89" s="117"/>
      <c r="W89" s="117"/>
      <c r="X89" s="117"/>
      <c r="Y89" s="117"/>
      <c r="Z89" s="4"/>
      <c r="AA89" s="4"/>
      <c r="AB89" s="4"/>
      <c r="AC89" s="4"/>
      <c r="AD89" s="4"/>
      <c r="AE89" s="4"/>
      <c r="AF89" s="4"/>
      <c r="AG89" s="4"/>
      <c r="AH89" s="4"/>
      <c r="AI89" s="4"/>
      <c r="AJ89" s="4"/>
      <c r="AK89" s="4"/>
      <c r="AL89" s="4"/>
      <c r="AM89" s="4"/>
      <c r="AN89" s="4"/>
    </row>
    <row r="90" spans="1:41" s="37" customFormat="1" x14ac:dyDescent="0.2">
      <c r="A90" s="57"/>
      <c r="N90" s="117"/>
      <c r="O90" s="117"/>
      <c r="P90" s="117"/>
      <c r="Q90" s="117"/>
      <c r="R90" s="117"/>
      <c r="S90" s="117"/>
      <c r="T90" s="117"/>
      <c r="U90" s="117"/>
      <c r="V90" s="117"/>
      <c r="W90" s="117"/>
      <c r="X90" s="117"/>
      <c r="Y90" s="117"/>
      <c r="Z90" s="4"/>
      <c r="AA90" s="4"/>
      <c r="AB90" s="4"/>
      <c r="AC90" s="4"/>
      <c r="AD90" s="4"/>
      <c r="AE90" s="4"/>
      <c r="AF90" s="4"/>
      <c r="AG90" s="4"/>
      <c r="AH90" s="4"/>
      <c r="AI90" s="4"/>
      <c r="AJ90" s="4"/>
      <c r="AK90" s="4"/>
      <c r="AL90" s="4"/>
      <c r="AM90" s="4"/>
      <c r="AN90" s="4"/>
    </row>
    <row r="91" spans="1:41" s="37" customFormat="1" x14ac:dyDescent="0.2">
      <c r="A91" s="57"/>
      <c r="N91" s="117"/>
      <c r="O91" s="117"/>
      <c r="P91" s="117"/>
      <c r="Q91" s="117"/>
      <c r="R91" s="117"/>
      <c r="S91" s="117"/>
      <c r="T91" s="117"/>
      <c r="U91" s="117"/>
      <c r="V91" s="117"/>
      <c r="W91" s="117"/>
      <c r="X91" s="117"/>
      <c r="Y91" s="117"/>
      <c r="Z91" s="4"/>
      <c r="AA91" s="4"/>
      <c r="AB91" s="4"/>
      <c r="AC91" s="4"/>
      <c r="AD91" s="4"/>
      <c r="AE91" s="4"/>
      <c r="AF91" s="4"/>
      <c r="AG91" s="4"/>
      <c r="AH91" s="4"/>
      <c r="AI91" s="4"/>
      <c r="AJ91" s="4"/>
      <c r="AK91" s="4"/>
      <c r="AL91" s="4"/>
      <c r="AM91" s="4"/>
      <c r="AN91" s="4"/>
    </row>
    <row r="92" spans="1:41" s="37" customFormat="1" x14ac:dyDescent="0.2">
      <c r="A92" s="57"/>
      <c r="N92" s="117"/>
      <c r="O92" s="117"/>
      <c r="P92" s="117"/>
      <c r="Q92" s="117"/>
      <c r="R92" s="117"/>
      <c r="S92" s="117"/>
      <c r="T92" s="117"/>
      <c r="U92" s="117"/>
      <c r="V92" s="117"/>
      <c r="W92" s="117"/>
      <c r="X92" s="117"/>
      <c r="Y92" s="117"/>
      <c r="Z92" s="4"/>
      <c r="AA92" s="4"/>
      <c r="AB92" s="4"/>
      <c r="AC92" s="4"/>
      <c r="AD92" s="4"/>
      <c r="AE92" s="4"/>
      <c r="AF92" s="4"/>
      <c r="AG92" s="4"/>
      <c r="AH92" s="4"/>
      <c r="AI92" s="4"/>
      <c r="AJ92" s="4"/>
      <c r="AK92" s="4"/>
      <c r="AL92" s="4"/>
      <c r="AM92" s="4"/>
      <c r="AN92" s="4"/>
    </row>
    <row r="93" spans="1:41" s="37" customFormat="1" x14ac:dyDescent="0.2">
      <c r="A93" s="57"/>
      <c r="N93" s="117"/>
      <c r="O93" s="117"/>
      <c r="P93" s="117"/>
      <c r="Q93" s="117"/>
      <c r="R93" s="117"/>
      <c r="S93" s="117"/>
      <c r="T93" s="117"/>
      <c r="U93" s="117"/>
      <c r="V93" s="117"/>
      <c r="W93" s="117"/>
      <c r="X93" s="117"/>
      <c r="Y93" s="117"/>
      <c r="Z93" s="4"/>
      <c r="AA93" s="4"/>
      <c r="AB93" s="4"/>
      <c r="AC93" s="4"/>
      <c r="AD93" s="4"/>
      <c r="AE93" s="4"/>
      <c r="AF93" s="4"/>
      <c r="AG93" s="4"/>
      <c r="AH93" s="4"/>
      <c r="AI93" s="4"/>
      <c r="AJ93" s="4"/>
      <c r="AK93" s="4"/>
      <c r="AL93" s="4"/>
      <c r="AM93" s="4"/>
      <c r="AN93" s="4"/>
    </row>
    <row r="94" spans="1:41" s="37" customFormat="1" x14ac:dyDescent="0.2">
      <c r="A94" s="57"/>
      <c r="N94" s="117"/>
      <c r="O94" s="117"/>
      <c r="P94" s="117"/>
      <c r="Q94" s="117"/>
      <c r="R94" s="117"/>
      <c r="S94" s="117"/>
      <c r="T94" s="117"/>
      <c r="U94" s="117"/>
      <c r="V94" s="117"/>
      <c r="W94" s="117"/>
      <c r="X94" s="117"/>
      <c r="Y94" s="117"/>
      <c r="Z94" s="4"/>
      <c r="AA94" s="4"/>
      <c r="AB94" s="4"/>
      <c r="AC94" s="4"/>
      <c r="AD94" s="4"/>
      <c r="AE94" s="4"/>
      <c r="AF94" s="4"/>
      <c r="AG94" s="4"/>
      <c r="AH94" s="4"/>
      <c r="AI94" s="4"/>
      <c r="AJ94" s="4"/>
      <c r="AK94" s="4"/>
      <c r="AL94" s="4"/>
      <c r="AM94" s="4"/>
      <c r="AN94" s="4"/>
    </row>
    <row r="95" spans="1:41" s="37" customFormat="1" x14ac:dyDescent="0.2">
      <c r="A95" s="57"/>
      <c r="N95" s="117"/>
      <c r="O95" s="117"/>
      <c r="P95" s="117"/>
      <c r="Q95" s="117"/>
      <c r="R95" s="117"/>
      <c r="S95" s="117"/>
      <c r="T95" s="117"/>
      <c r="U95" s="117"/>
      <c r="V95" s="117"/>
      <c r="W95" s="117"/>
      <c r="X95" s="117"/>
      <c r="Y95" s="117"/>
      <c r="Z95" s="4"/>
      <c r="AA95" s="4"/>
      <c r="AB95" s="4"/>
      <c r="AC95" s="4"/>
      <c r="AD95" s="4"/>
      <c r="AE95" s="4"/>
      <c r="AF95" s="4"/>
      <c r="AG95" s="4"/>
      <c r="AH95" s="4"/>
      <c r="AI95" s="4"/>
      <c r="AJ95" s="4"/>
      <c r="AK95" s="4"/>
      <c r="AL95" s="4"/>
      <c r="AM95" s="4"/>
      <c r="AN95" s="4"/>
    </row>
    <row r="96" spans="1:41" s="37" customFormat="1" x14ac:dyDescent="0.2">
      <c r="A96" s="57"/>
      <c r="N96" s="117"/>
      <c r="O96" s="117"/>
      <c r="P96" s="117"/>
      <c r="Q96" s="117"/>
      <c r="R96" s="117"/>
      <c r="S96" s="117"/>
      <c r="T96" s="117"/>
      <c r="U96" s="117"/>
      <c r="V96" s="117"/>
      <c r="W96" s="117"/>
      <c r="X96" s="117"/>
      <c r="Y96" s="117"/>
      <c r="Z96" s="4"/>
      <c r="AA96" s="4"/>
      <c r="AB96" s="4"/>
      <c r="AC96" s="4"/>
      <c r="AD96" s="4"/>
      <c r="AE96" s="4"/>
      <c r="AF96" s="4"/>
      <c r="AG96" s="4"/>
      <c r="AH96" s="4"/>
      <c r="AI96" s="4"/>
      <c r="AJ96" s="4"/>
      <c r="AK96" s="4"/>
      <c r="AL96" s="4"/>
      <c r="AM96" s="4"/>
      <c r="AN96" s="4"/>
    </row>
    <row r="97" spans="1:40" s="37" customFormat="1" x14ac:dyDescent="0.2">
      <c r="A97" s="57"/>
      <c r="N97" s="117"/>
      <c r="O97" s="117"/>
      <c r="P97" s="117"/>
      <c r="Q97" s="117"/>
      <c r="R97" s="117"/>
      <c r="S97" s="117"/>
      <c r="T97" s="117"/>
      <c r="U97" s="117"/>
      <c r="V97" s="117"/>
      <c r="W97" s="117"/>
      <c r="X97" s="117"/>
      <c r="Y97" s="117"/>
      <c r="Z97" s="4"/>
      <c r="AA97" s="4"/>
      <c r="AB97" s="4"/>
      <c r="AC97" s="4"/>
      <c r="AD97" s="4"/>
      <c r="AE97" s="4"/>
      <c r="AF97" s="4"/>
      <c r="AG97" s="4"/>
      <c r="AH97" s="4"/>
      <c r="AI97" s="4"/>
      <c r="AJ97" s="4"/>
      <c r="AK97" s="4"/>
      <c r="AL97" s="4"/>
      <c r="AM97" s="4"/>
      <c r="AN97" s="4"/>
    </row>
    <row r="98" spans="1:40" s="37" customFormat="1" x14ac:dyDescent="0.2">
      <c r="A98" s="57"/>
      <c r="N98" s="117"/>
      <c r="O98" s="117"/>
      <c r="P98" s="117"/>
      <c r="Q98" s="117"/>
      <c r="R98" s="117"/>
      <c r="S98" s="117"/>
      <c r="T98" s="117"/>
      <c r="U98" s="117"/>
      <c r="V98" s="117"/>
      <c r="W98" s="117"/>
      <c r="X98" s="117"/>
      <c r="Y98" s="117"/>
      <c r="Z98" s="4"/>
      <c r="AA98" s="4"/>
      <c r="AB98" s="4"/>
      <c r="AC98" s="4"/>
      <c r="AD98" s="4"/>
      <c r="AE98" s="4"/>
      <c r="AF98" s="4"/>
      <c r="AG98" s="4"/>
      <c r="AH98" s="4"/>
      <c r="AI98" s="4"/>
      <c r="AJ98" s="4"/>
      <c r="AK98" s="4"/>
      <c r="AL98" s="4"/>
      <c r="AM98" s="4"/>
      <c r="AN98" s="4"/>
    </row>
    <row r="99" spans="1:40" s="37" customFormat="1" x14ac:dyDescent="0.2">
      <c r="A99" s="57"/>
      <c r="N99" s="117"/>
      <c r="O99" s="117"/>
      <c r="P99" s="117"/>
      <c r="Q99" s="117"/>
      <c r="R99" s="117"/>
      <c r="S99" s="117"/>
      <c r="T99" s="117"/>
      <c r="U99" s="117"/>
      <c r="V99" s="117"/>
      <c r="W99" s="117"/>
      <c r="X99" s="117"/>
      <c r="Y99" s="117"/>
      <c r="Z99" s="4"/>
      <c r="AA99" s="4"/>
      <c r="AB99" s="4"/>
      <c r="AC99" s="4"/>
      <c r="AD99" s="4"/>
      <c r="AE99" s="4"/>
      <c r="AF99" s="4"/>
      <c r="AG99" s="4"/>
      <c r="AH99" s="4"/>
      <c r="AI99" s="4"/>
      <c r="AJ99" s="4"/>
      <c r="AK99" s="4"/>
      <c r="AL99" s="4"/>
      <c r="AM99" s="4"/>
      <c r="AN99" s="4"/>
    </row>
    <row r="100" spans="1:40" s="37" customFormat="1" x14ac:dyDescent="0.2">
      <c r="A100" s="57"/>
      <c r="N100" s="117"/>
      <c r="O100" s="117"/>
      <c r="P100" s="117"/>
      <c r="Q100" s="117"/>
      <c r="R100" s="117"/>
      <c r="S100" s="117"/>
      <c r="T100" s="117"/>
      <c r="U100" s="117"/>
      <c r="V100" s="117"/>
      <c r="W100" s="117"/>
      <c r="X100" s="117"/>
      <c r="Y100" s="117"/>
      <c r="Z100" s="4"/>
      <c r="AA100" s="4"/>
      <c r="AB100" s="4"/>
      <c r="AC100" s="4"/>
      <c r="AD100" s="4"/>
      <c r="AE100" s="4"/>
      <c r="AF100" s="4"/>
      <c r="AG100" s="4"/>
      <c r="AH100" s="4"/>
      <c r="AI100" s="4"/>
      <c r="AJ100" s="4"/>
      <c r="AK100" s="4"/>
      <c r="AL100" s="4"/>
      <c r="AM100" s="4"/>
      <c r="AN100" s="4"/>
    </row>
    <row r="101" spans="1:40" s="37" customFormat="1" x14ac:dyDescent="0.2">
      <c r="A101" s="57"/>
      <c r="N101" s="117"/>
      <c r="O101" s="117"/>
      <c r="P101" s="117"/>
      <c r="Q101" s="117"/>
      <c r="R101" s="117"/>
      <c r="S101" s="117"/>
      <c r="T101" s="117"/>
      <c r="U101" s="117"/>
      <c r="V101" s="117"/>
      <c r="W101" s="117"/>
      <c r="X101" s="117"/>
      <c r="Y101" s="117"/>
      <c r="Z101" s="4"/>
      <c r="AA101" s="4"/>
      <c r="AB101" s="4"/>
      <c r="AC101" s="4"/>
      <c r="AD101" s="4"/>
      <c r="AE101" s="4"/>
      <c r="AF101" s="4"/>
      <c r="AG101" s="4"/>
      <c r="AH101" s="4"/>
      <c r="AI101" s="4"/>
      <c r="AJ101" s="4"/>
      <c r="AK101" s="4"/>
      <c r="AL101" s="4"/>
      <c r="AM101" s="4"/>
      <c r="AN101" s="4"/>
    </row>
    <row r="102" spans="1:40" s="37" customFormat="1" x14ac:dyDescent="0.2">
      <c r="A102" s="57"/>
      <c r="N102" s="117"/>
      <c r="O102" s="117"/>
      <c r="P102" s="117"/>
      <c r="Q102" s="117"/>
      <c r="R102" s="117"/>
      <c r="S102" s="117"/>
      <c r="T102" s="117"/>
      <c r="U102" s="117"/>
      <c r="V102" s="117"/>
      <c r="W102" s="117"/>
      <c r="X102" s="117"/>
      <c r="Y102" s="117"/>
      <c r="Z102" s="4"/>
      <c r="AA102" s="4"/>
      <c r="AB102" s="4"/>
      <c r="AC102" s="4"/>
      <c r="AD102" s="4"/>
      <c r="AE102" s="4"/>
      <c r="AF102" s="4"/>
      <c r="AG102" s="4"/>
      <c r="AH102" s="4"/>
      <c r="AI102" s="4"/>
      <c r="AJ102" s="4"/>
      <c r="AK102" s="4"/>
      <c r="AL102" s="4"/>
      <c r="AM102" s="4"/>
      <c r="AN102" s="4"/>
    </row>
    <row r="103" spans="1:40" s="37" customFormat="1" x14ac:dyDescent="0.2">
      <c r="A103" s="57"/>
      <c r="N103" s="117"/>
      <c r="O103" s="117"/>
      <c r="P103" s="117"/>
      <c r="Q103" s="117"/>
      <c r="R103" s="117"/>
      <c r="S103" s="117"/>
      <c r="T103" s="117"/>
      <c r="U103" s="117"/>
      <c r="V103" s="117"/>
      <c r="W103" s="117"/>
      <c r="X103" s="117"/>
      <c r="Y103" s="117"/>
      <c r="Z103" s="4"/>
      <c r="AA103" s="4"/>
      <c r="AB103" s="4"/>
      <c r="AC103" s="4"/>
      <c r="AD103" s="4"/>
      <c r="AE103" s="4"/>
      <c r="AF103" s="4"/>
      <c r="AG103" s="4"/>
      <c r="AH103" s="4"/>
      <c r="AI103" s="4"/>
      <c r="AJ103" s="4"/>
      <c r="AK103" s="4"/>
      <c r="AL103" s="4"/>
      <c r="AM103" s="4"/>
      <c r="AN103" s="4"/>
    </row>
    <row r="104" spans="1:40" s="37" customFormat="1" x14ac:dyDescent="0.2">
      <c r="A104" s="57"/>
      <c r="N104" s="117"/>
      <c r="O104" s="117"/>
      <c r="P104" s="117"/>
      <c r="Q104" s="117"/>
      <c r="R104" s="117"/>
      <c r="S104" s="117"/>
      <c r="T104" s="117"/>
      <c r="U104" s="117"/>
      <c r="V104" s="117"/>
      <c r="W104" s="117"/>
      <c r="X104" s="117"/>
      <c r="Y104" s="117"/>
      <c r="Z104" s="4"/>
      <c r="AA104" s="4"/>
      <c r="AB104" s="4"/>
      <c r="AC104" s="4"/>
      <c r="AD104" s="4"/>
      <c r="AE104" s="4"/>
      <c r="AF104" s="4"/>
      <c r="AG104" s="4"/>
      <c r="AH104" s="4"/>
      <c r="AI104" s="4"/>
      <c r="AJ104" s="4"/>
      <c r="AK104" s="4"/>
      <c r="AL104" s="4"/>
      <c r="AM104" s="4"/>
      <c r="AN104" s="4"/>
    </row>
    <row r="105" spans="1:40" s="37" customFormat="1" x14ac:dyDescent="0.2">
      <c r="A105" s="57"/>
      <c r="N105" s="117"/>
      <c r="O105" s="117"/>
      <c r="P105" s="117"/>
      <c r="Q105" s="117"/>
      <c r="R105" s="117"/>
      <c r="S105" s="117"/>
      <c r="T105" s="117"/>
      <c r="U105" s="117"/>
      <c r="V105" s="117"/>
      <c r="W105" s="117"/>
      <c r="X105" s="117"/>
      <c r="Y105" s="117"/>
      <c r="Z105" s="4"/>
      <c r="AA105" s="4"/>
      <c r="AB105" s="4"/>
      <c r="AC105" s="4"/>
      <c r="AD105" s="4"/>
      <c r="AE105" s="4"/>
      <c r="AF105" s="4"/>
      <c r="AG105" s="4"/>
      <c r="AH105" s="4"/>
      <c r="AI105" s="4"/>
      <c r="AJ105" s="4"/>
      <c r="AK105" s="4"/>
      <c r="AL105" s="4"/>
      <c r="AM105" s="4"/>
      <c r="AN105" s="4"/>
    </row>
    <row r="106" spans="1:40" s="37" customFormat="1" x14ac:dyDescent="0.2">
      <c r="A106" s="57"/>
      <c r="N106" s="117"/>
      <c r="O106" s="117"/>
      <c r="P106" s="117"/>
      <c r="Q106" s="117"/>
      <c r="R106" s="117"/>
      <c r="S106" s="117"/>
      <c r="T106" s="117"/>
      <c r="U106" s="117"/>
      <c r="V106" s="117"/>
      <c r="W106" s="117"/>
      <c r="X106" s="117"/>
      <c r="Y106" s="117"/>
      <c r="Z106" s="4"/>
      <c r="AA106" s="4"/>
      <c r="AB106" s="4"/>
      <c r="AC106" s="4"/>
      <c r="AD106" s="4"/>
      <c r="AE106" s="4"/>
      <c r="AF106" s="4"/>
      <c r="AG106" s="4"/>
      <c r="AH106" s="4"/>
      <c r="AI106" s="4"/>
      <c r="AJ106" s="4"/>
      <c r="AK106" s="4"/>
      <c r="AL106" s="4"/>
      <c r="AM106" s="4"/>
      <c r="AN106" s="4"/>
    </row>
    <row r="107" spans="1:40" s="37" customFormat="1" x14ac:dyDescent="0.2">
      <c r="A107" s="57"/>
      <c r="N107" s="117"/>
      <c r="O107" s="117"/>
      <c r="P107" s="117"/>
      <c r="Q107" s="117"/>
      <c r="R107" s="117"/>
      <c r="S107" s="117"/>
      <c r="T107" s="117"/>
      <c r="U107" s="117"/>
      <c r="V107" s="117"/>
      <c r="W107" s="117"/>
      <c r="X107" s="117"/>
      <c r="Y107" s="117"/>
      <c r="Z107" s="4"/>
      <c r="AA107" s="4"/>
      <c r="AB107" s="4"/>
      <c r="AC107" s="4"/>
      <c r="AD107" s="4"/>
      <c r="AE107" s="4"/>
      <c r="AF107" s="4"/>
      <c r="AG107" s="4"/>
      <c r="AH107" s="4"/>
      <c r="AI107" s="4"/>
      <c r="AJ107" s="4"/>
      <c r="AK107" s="4"/>
      <c r="AL107" s="4"/>
      <c r="AM107" s="4"/>
      <c r="AN107" s="4"/>
    </row>
    <row r="108" spans="1:40" s="37" customFormat="1" x14ac:dyDescent="0.2">
      <c r="A108" s="57"/>
      <c r="N108" s="117"/>
      <c r="O108" s="117"/>
      <c r="P108" s="117"/>
      <c r="Q108" s="117"/>
      <c r="R108" s="117"/>
      <c r="S108" s="117"/>
      <c r="T108" s="117"/>
      <c r="U108" s="117"/>
      <c r="V108" s="117"/>
      <c r="W108" s="117"/>
      <c r="X108" s="117"/>
      <c r="Y108" s="117"/>
      <c r="Z108" s="4"/>
      <c r="AA108" s="4"/>
      <c r="AB108" s="4"/>
      <c r="AC108" s="4"/>
      <c r="AD108" s="4"/>
      <c r="AE108" s="4"/>
      <c r="AF108" s="4"/>
      <c r="AG108" s="4"/>
      <c r="AH108" s="4"/>
      <c r="AI108" s="4"/>
      <c r="AJ108" s="4"/>
      <c r="AK108" s="4"/>
      <c r="AL108" s="4"/>
      <c r="AM108" s="4"/>
      <c r="AN108" s="4"/>
    </row>
    <row r="109" spans="1:40" s="37" customFormat="1" x14ac:dyDescent="0.2">
      <c r="A109" s="57"/>
      <c r="N109" s="117"/>
      <c r="O109" s="117"/>
      <c r="P109" s="117"/>
      <c r="Q109" s="117"/>
      <c r="R109" s="117"/>
      <c r="S109" s="117"/>
      <c r="T109" s="117"/>
      <c r="U109" s="117"/>
      <c r="V109" s="117"/>
      <c r="W109" s="117"/>
      <c r="X109" s="117"/>
      <c r="Y109" s="117"/>
      <c r="Z109" s="4"/>
      <c r="AA109" s="4"/>
      <c r="AB109" s="4"/>
      <c r="AC109" s="4"/>
      <c r="AD109" s="4"/>
      <c r="AE109" s="4"/>
      <c r="AF109" s="4"/>
      <c r="AG109" s="4"/>
      <c r="AH109" s="4"/>
      <c r="AI109" s="4"/>
      <c r="AJ109" s="4"/>
      <c r="AK109" s="4"/>
      <c r="AL109" s="4"/>
      <c r="AM109" s="4"/>
      <c r="AN109" s="4"/>
    </row>
    <row r="110" spans="1:40" s="37" customFormat="1" x14ac:dyDescent="0.2">
      <c r="A110" s="57"/>
      <c r="N110" s="117"/>
      <c r="O110" s="117"/>
      <c r="P110" s="117"/>
      <c r="Q110" s="117"/>
      <c r="R110" s="117"/>
      <c r="S110" s="117"/>
      <c r="T110" s="117"/>
      <c r="U110" s="117"/>
      <c r="V110" s="117"/>
      <c r="W110" s="117"/>
      <c r="X110" s="117"/>
      <c r="Y110" s="117"/>
      <c r="Z110" s="4"/>
      <c r="AA110" s="4"/>
      <c r="AB110" s="4"/>
      <c r="AC110" s="4"/>
      <c r="AD110" s="4"/>
      <c r="AE110" s="4"/>
      <c r="AF110" s="4"/>
      <c r="AG110" s="4"/>
      <c r="AH110" s="4"/>
      <c r="AI110" s="4"/>
      <c r="AJ110" s="4"/>
      <c r="AK110" s="4"/>
      <c r="AL110" s="4"/>
      <c r="AM110" s="4"/>
      <c r="AN110" s="4"/>
    </row>
    <row r="111" spans="1:40" s="37" customFormat="1" x14ac:dyDescent="0.2">
      <c r="A111" s="57"/>
      <c r="N111" s="117"/>
      <c r="O111" s="117"/>
      <c r="P111" s="117"/>
      <c r="Q111" s="117"/>
      <c r="R111" s="117"/>
      <c r="S111" s="117"/>
      <c r="T111" s="117"/>
      <c r="U111" s="117"/>
      <c r="V111" s="117"/>
      <c r="W111" s="117"/>
      <c r="X111" s="117"/>
      <c r="Y111" s="117"/>
      <c r="Z111" s="4"/>
      <c r="AA111" s="4"/>
      <c r="AB111" s="4"/>
      <c r="AC111" s="4"/>
      <c r="AD111" s="4"/>
      <c r="AE111" s="4"/>
      <c r="AF111" s="4"/>
      <c r="AG111" s="4"/>
      <c r="AH111" s="4"/>
      <c r="AI111" s="4"/>
      <c r="AJ111" s="4"/>
      <c r="AK111" s="4"/>
      <c r="AL111" s="4"/>
      <c r="AM111" s="4"/>
      <c r="AN111" s="4"/>
    </row>
    <row r="112" spans="1:40" s="37" customFormat="1" x14ac:dyDescent="0.2">
      <c r="A112" s="57"/>
      <c r="N112" s="117"/>
      <c r="O112" s="117"/>
      <c r="P112" s="117"/>
      <c r="Q112" s="117"/>
      <c r="R112" s="117"/>
      <c r="S112" s="117"/>
      <c r="T112" s="117"/>
      <c r="U112" s="117"/>
      <c r="V112" s="117"/>
      <c r="W112" s="117"/>
      <c r="X112" s="117"/>
      <c r="Y112" s="117"/>
      <c r="Z112" s="4"/>
      <c r="AA112" s="4"/>
      <c r="AB112" s="4"/>
      <c r="AC112" s="4"/>
      <c r="AD112" s="4"/>
      <c r="AE112" s="4"/>
      <c r="AF112" s="4"/>
      <c r="AG112" s="4"/>
      <c r="AH112" s="4"/>
      <c r="AI112" s="4"/>
      <c r="AJ112" s="4"/>
      <c r="AK112" s="4"/>
      <c r="AL112" s="4"/>
      <c r="AM112" s="4"/>
      <c r="AN112" s="4"/>
    </row>
    <row r="113" spans="1:40" s="37" customFormat="1" x14ac:dyDescent="0.2">
      <c r="A113" s="57"/>
      <c r="N113" s="117"/>
      <c r="O113" s="117"/>
      <c r="P113" s="117"/>
      <c r="Q113" s="117"/>
      <c r="R113" s="117"/>
      <c r="S113" s="117"/>
      <c r="T113" s="117"/>
      <c r="U113" s="117"/>
      <c r="V113" s="117"/>
      <c r="W113" s="117"/>
      <c r="X113" s="117"/>
      <c r="Y113" s="117"/>
      <c r="Z113" s="4"/>
      <c r="AA113" s="4"/>
      <c r="AB113" s="4"/>
      <c r="AC113" s="4"/>
      <c r="AD113" s="4"/>
      <c r="AE113" s="4"/>
      <c r="AF113" s="4"/>
      <c r="AG113" s="4"/>
      <c r="AH113" s="4"/>
      <c r="AI113" s="4"/>
      <c r="AJ113" s="4"/>
      <c r="AK113" s="4"/>
      <c r="AL113" s="4"/>
      <c r="AM113" s="4"/>
      <c r="AN113" s="4"/>
    </row>
    <row r="114" spans="1:40" s="37" customFormat="1" x14ac:dyDescent="0.2">
      <c r="A114" s="57"/>
      <c r="N114" s="117"/>
      <c r="O114" s="117"/>
      <c r="P114" s="117"/>
      <c r="Q114" s="117"/>
      <c r="R114" s="117"/>
      <c r="S114" s="117"/>
      <c r="T114" s="117"/>
      <c r="U114" s="117"/>
      <c r="V114" s="117"/>
      <c r="W114" s="117"/>
      <c r="X114" s="117"/>
      <c r="Y114" s="117"/>
      <c r="Z114" s="4"/>
      <c r="AA114" s="4"/>
      <c r="AB114" s="4"/>
      <c r="AC114" s="4"/>
      <c r="AD114" s="4"/>
      <c r="AE114" s="4"/>
      <c r="AF114" s="4"/>
      <c r="AG114" s="4"/>
      <c r="AH114" s="4"/>
      <c r="AI114" s="4"/>
      <c r="AJ114" s="4"/>
      <c r="AK114" s="4"/>
      <c r="AL114" s="4"/>
      <c r="AM114" s="4"/>
      <c r="AN114" s="4"/>
    </row>
    <row r="115" spans="1:40" s="37" customFormat="1" x14ac:dyDescent="0.2">
      <c r="A115" s="57"/>
      <c r="N115" s="117"/>
      <c r="O115" s="117"/>
      <c r="P115" s="117"/>
      <c r="Q115" s="117"/>
      <c r="R115" s="117"/>
      <c r="S115" s="117"/>
      <c r="T115" s="117"/>
      <c r="U115" s="117"/>
      <c r="V115" s="117"/>
      <c r="W115" s="117"/>
      <c r="X115" s="117"/>
      <c r="Y115" s="117"/>
      <c r="Z115" s="4"/>
      <c r="AA115" s="4"/>
      <c r="AB115" s="4"/>
      <c r="AC115" s="4"/>
      <c r="AD115" s="4"/>
      <c r="AE115" s="4"/>
      <c r="AF115" s="4"/>
      <c r="AG115" s="4"/>
      <c r="AH115" s="4"/>
      <c r="AI115" s="4"/>
      <c r="AJ115" s="4"/>
      <c r="AK115" s="4"/>
      <c r="AL115" s="4"/>
      <c r="AM115" s="4"/>
      <c r="AN115" s="4"/>
    </row>
    <row r="116" spans="1:40" s="37" customFormat="1" x14ac:dyDescent="0.2">
      <c r="A116" s="57"/>
      <c r="N116" s="117"/>
      <c r="O116" s="117"/>
      <c r="P116" s="117"/>
      <c r="Q116" s="117"/>
      <c r="R116" s="117"/>
      <c r="S116" s="117"/>
      <c r="T116" s="117"/>
      <c r="U116" s="117"/>
      <c r="V116" s="117"/>
      <c r="W116" s="117"/>
      <c r="X116" s="117"/>
      <c r="Y116" s="117"/>
      <c r="Z116" s="4"/>
      <c r="AA116" s="4"/>
      <c r="AB116" s="4"/>
      <c r="AC116" s="4"/>
      <c r="AD116" s="4"/>
      <c r="AE116" s="4"/>
      <c r="AF116" s="4"/>
      <c r="AG116" s="4"/>
      <c r="AH116" s="4"/>
      <c r="AI116" s="4"/>
      <c r="AJ116" s="4"/>
      <c r="AK116" s="4"/>
      <c r="AL116" s="4"/>
      <c r="AM116" s="4"/>
      <c r="AN116" s="4"/>
    </row>
    <row r="117" spans="1:40" s="37" customFormat="1" x14ac:dyDescent="0.2">
      <c r="A117" s="57"/>
      <c r="N117" s="117"/>
      <c r="O117" s="117"/>
      <c r="P117" s="117"/>
      <c r="Q117" s="117"/>
      <c r="R117" s="117"/>
      <c r="S117" s="117"/>
      <c r="T117" s="117"/>
      <c r="U117" s="117"/>
      <c r="V117" s="117"/>
      <c r="W117" s="117"/>
      <c r="X117" s="117"/>
      <c r="Y117" s="117"/>
      <c r="Z117" s="4"/>
      <c r="AA117" s="4"/>
      <c r="AB117" s="4"/>
      <c r="AC117" s="4"/>
      <c r="AD117" s="4"/>
      <c r="AE117" s="4"/>
      <c r="AF117" s="4"/>
      <c r="AG117" s="4"/>
      <c r="AH117" s="4"/>
      <c r="AI117" s="4"/>
      <c r="AJ117" s="4"/>
      <c r="AK117" s="4"/>
      <c r="AL117" s="4"/>
      <c r="AM117" s="4"/>
      <c r="AN117" s="4"/>
    </row>
    <row r="118" spans="1:40" s="37" customFormat="1" x14ac:dyDescent="0.2">
      <c r="A118" s="57"/>
      <c r="N118" s="117"/>
      <c r="O118" s="117"/>
      <c r="P118" s="117"/>
      <c r="Q118" s="117"/>
      <c r="R118" s="117"/>
      <c r="S118" s="117"/>
      <c r="T118" s="117"/>
      <c r="U118" s="117"/>
      <c r="V118" s="117"/>
      <c r="W118" s="117"/>
      <c r="X118" s="117"/>
      <c r="Y118" s="117"/>
      <c r="Z118" s="4"/>
      <c r="AA118" s="4"/>
      <c r="AB118" s="4"/>
      <c r="AC118" s="4"/>
      <c r="AD118" s="4"/>
      <c r="AE118" s="4"/>
      <c r="AF118" s="4"/>
      <c r="AG118" s="4"/>
      <c r="AH118" s="4"/>
      <c r="AI118" s="4"/>
      <c r="AJ118" s="4"/>
      <c r="AK118" s="4"/>
      <c r="AL118" s="4"/>
      <c r="AM118" s="4"/>
      <c r="AN118" s="4"/>
    </row>
    <row r="119" spans="1:40" s="37" customFormat="1" x14ac:dyDescent="0.2">
      <c r="A119" s="57"/>
      <c r="N119" s="117"/>
      <c r="O119" s="117"/>
      <c r="P119" s="117"/>
      <c r="Q119" s="117"/>
      <c r="R119" s="117"/>
      <c r="S119" s="117"/>
      <c r="T119" s="117"/>
      <c r="U119" s="117"/>
      <c r="V119" s="117"/>
      <c r="W119" s="117"/>
      <c r="X119" s="117"/>
      <c r="Y119" s="117"/>
      <c r="Z119" s="4"/>
      <c r="AA119" s="4"/>
      <c r="AB119" s="4"/>
      <c r="AC119" s="4"/>
      <c r="AD119" s="4"/>
      <c r="AE119" s="4"/>
      <c r="AF119" s="4"/>
      <c r="AG119" s="4"/>
      <c r="AH119" s="4"/>
      <c r="AI119" s="4"/>
      <c r="AJ119" s="4"/>
      <c r="AK119" s="4"/>
      <c r="AL119" s="4"/>
      <c r="AM119" s="4"/>
      <c r="AN119" s="4"/>
    </row>
    <row r="120" spans="1:40" s="37" customFormat="1" x14ac:dyDescent="0.2">
      <c r="A120" s="57"/>
      <c r="N120" s="117"/>
      <c r="O120" s="117"/>
      <c r="P120" s="117"/>
      <c r="Q120" s="117"/>
      <c r="R120" s="117"/>
      <c r="S120" s="117"/>
      <c r="T120" s="117"/>
      <c r="U120" s="117"/>
      <c r="V120" s="117"/>
      <c r="W120" s="117"/>
      <c r="X120" s="117"/>
      <c r="Y120" s="117"/>
      <c r="Z120" s="4"/>
      <c r="AA120" s="4"/>
      <c r="AB120" s="4"/>
      <c r="AC120" s="4"/>
      <c r="AD120" s="4"/>
      <c r="AE120" s="4"/>
      <c r="AF120" s="4"/>
      <c r="AG120" s="4"/>
      <c r="AH120" s="4"/>
      <c r="AI120" s="4"/>
      <c r="AJ120" s="4"/>
      <c r="AK120" s="4"/>
      <c r="AL120" s="4"/>
      <c r="AM120" s="4"/>
      <c r="AN120" s="4"/>
    </row>
    <row r="121" spans="1:40" s="37" customFormat="1" x14ac:dyDescent="0.2">
      <c r="A121" s="57"/>
      <c r="N121" s="117"/>
      <c r="O121" s="117"/>
      <c r="P121" s="117"/>
      <c r="Q121" s="117"/>
      <c r="R121" s="117"/>
      <c r="S121" s="117"/>
      <c r="T121" s="117"/>
      <c r="U121" s="117"/>
      <c r="V121" s="117"/>
      <c r="W121" s="117"/>
      <c r="X121" s="117"/>
      <c r="Y121" s="117"/>
      <c r="Z121" s="4"/>
      <c r="AA121" s="4"/>
      <c r="AB121" s="4"/>
      <c r="AC121" s="4"/>
      <c r="AD121" s="4"/>
      <c r="AE121" s="4"/>
      <c r="AF121" s="4"/>
      <c r="AG121" s="4"/>
      <c r="AH121" s="4"/>
      <c r="AI121" s="4"/>
      <c r="AJ121" s="4"/>
      <c r="AK121" s="4"/>
      <c r="AL121" s="4"/>
      <c r="AM121" s="4"/>
      <c r="AN121" s="4"/>
    </row>
    <row r="122" spans="1:40" s="37" customFormat="1" x14ac:dyDescent="0.2">
      <c r="A122" s="57"/>
      <c r="N122" s="117"/>
      <c r="O122" s="117"/>
      <c r="P122" s="117"/>
      <c r="Q122" s="117"/>
      <c r="R122" s="117"/>
      <c r="S122" s="117"/>
      <c r="T122" s="117"/>
      <c r="U122" s="117"/>
      <c r="V122" s="117"/>
      <c r="W122" s="117"/>
      <c r="X122" s="117"/>
      <c r="Y122" s="117"/>
      <c r="Z122" s="4"/>
      <c r="AA122" s="4"/>
      <c r="AB122" s="4"/>
      <c r="AC122" s="4"/>
      <c r="AD122" s="4"/>
      <c r="AE122" s="4"/>
      <c r="AF122" s="4"/>
      <c r="AG122" s="4"/>
      <c r="AH122" s="4"/>
      <c r="AI122" s="4"/>
      <c r="AJ122" s="4"/>
      <c r="AK122" s="4"/>
      <c r="AL122" s="4"/>
      <c r="AM122" s="4"/>
      <c r="AN122" s="4"/>
    </row>
    <row r="123" spans="1:40" s="37" customFormat="1" x14ac:dyDescent="0.2">
      <c r="A123" s="57"/>
      <c r="N123" s="117"/>
      <c r="O123" s="117"/>
      <c r="P123" s="117"/>
      <c r="Q123" s="117"/>
      <c r="R123" s="117"/>
      <c r="S123" s="117"/>
      <c r="T123" s="117"/>
      <c r="U123" s="117"/>
      <c r="V123" s="117"/>
      <c r="W123" s="117"/>
      <c r="X123" s="117"/>
      <c r="Y123" s="117"/>
      <c r="Z123" s="4"/>
      <c r="AA123" s="4"/>
      <c r="AB123" s="4"/>
      <c r="AC123" s="4"/>
      <c r="AD123" s="4"/>
      <c r="AE123" s="4"/>
      <c r="AF123" s="4"/>
      <c r="AG123" s="4"/>
      <c r="AH123" s="4"/>
      <c r="AI123" s="4"/>
      <c r="AJ123" s="4"/>
      <c r="AK123" s="4"/>
      <c r="AL123" s="4"/>
      <c r="AM123" s="4"/>
      <c r="AN123" s="4"/>
    </row>
    <row r="124" spans="1:40" s="37" customFormat="1" x14ac:dyDescent="0.2">
      <c r="A124" s="57"/>
      <c r="N124" s="117"/>
      <c r="O124" s="117"/>
      <c r="P124" s="117"/>
      <c r="Q124" s="117"/>
      <c r="R124" s="117"/>
      <c r="S124" s="117"/>
      <c r="T124" s="117"/>
      <c r="U124" s="117"/>
      <c r="V124" s="117"/>
      <c r="W124" s="117"/>
      <c r="X124" s="117"/>
      <c r="Y124" s="117"/>
      <c r="Z124" s="4"/>
      <c r="AA124" s="4"/>
      <c r="AB124" s="4"/>
      <c r="AC124" s="4"/>
      <c r="AD124" s="4"/>
      <c r="AE124" s="4"/>
      <c r="AF124" s="4"/>
      <c r="AG124" s="4"/>
      <c r="AH124" s="4"/>
      <c r="AI124" s="4"/>
      <c r="AJ124" s="4"/>
      <c r="AK124" s="4"/>
      <c r="AL124" s="4"/>
      <c r="AM124" s="4"/>
      <c r="AN124" s="4"/>
    </row>
    <row r="125" spans="1:40" s="37" customFormat="1" x14ac:dyDescent="0.2">
      <c r="A125" s="57"/>
      <c r="N125" s="117"/>
      <c r="O125" s="117"/>
      <c r="P125" s="117"/>
      <c r="Q125" s="117"/>
      <c r="R125" s="117"/>
      <c r="S125" s="117"/>
      <c r="T125" s="117"/>
      <c r="U125" s="117"/>
      <c r="V125" s="117"/>
      <c r="W125" s="117"/>
      <c r="X125" s="117"/>
      <c r="Y125" s="117"/>
      <c r="Z125" s="4"/>
      <c r="AA125" s="4"/>
      <c r="AB125" s="4"/>
      <c r="AC125" s="4"/>
      <c r="AD125" s="4"/>
      <c r="AE125" s="4"/>
      <c r="AF125" s="4"/>
      <c r="AG125" s="4"/>
      <c r="AH125" s="4"/>
      <c r="AI125" s="4"/>
      <c r="AJ125" s="4"/>
      <c r="AK125" s="4"/>
      <c r="AL125" s="4"/>
      <c r="AM125" s="4"/>
      <c r="AN125" s="4"/>
    </row>
    <row r="126" spans="1:40" s="37" customFormat="1" x14ac:dyDescent="0.2">
      <c r="A126" s="57"/>
      <c r="N126" s="117"/>
      <c r="O126" s="117"/>
      <c r="P126" s="117"/>
      <c r="Q126" s="117"/>
      <c r="R126" s="117"/>
      <c r="S126" s="117"/>
      <c r="T126" s="117"/>
      <c r="U126" s="117"/>
      <c r="V126" s="117"/>
      <c r="W126" s="117"/>
      <c r="X126" s="117"/>
      <c r="Y126" s="117"/>
      <c r="Z126" s="4"/>
      <c r="AA126" s="4"/>
      <c r="AB126" s="4"/>
      <c r="AC126" s="4"/>
      <c r="AD126" s="4"/>
      <c r="AE126" s="4"/>
      <c r="AF126" s="4"/>
      <c r="AG126" s="4"/>
      <c r="AH126" s="4"/>
      <c r="AI126" s="4"/>
      <c r="AJ126" s="4"/>
      <c r="AK126" s="4"/>
      <c r="AL126" s="4"/>
      <c r="AM126" s="4"/>
      <c r="AN126" s="4"/>
    </row>
    <row r="127" spans="1:40" s="37" customFormat="1" x14ac:dyDescent="0.2">
      <c r="A127" s="57"/>
      <c r="N127" s="117"/>
      <c r="O127" s="117"/>
      <c r="P127" s="117"/>
      <c r="Q127" s="117"/>
      <c r="R127" s="117"/>
      <c r="S127" s="117"/>
      <c r="T127" s="117"/>
      <c r="U127" s="117"/>
      <c r="V127" s="117"/>
      <c r="W127" s="117"/>
      <c r="X127" s="117"/>
      <c r="Y127" s="117"/>
      <c r="Z127" s="4"/>
      <c r="AA127" s="4"/>
      <c r="AB127" s="4"/>
      <c r="AC127" s="4"/>
      <c r="AD127" s="4"/>
      <c r="AE127" s="4"/>
      <c r="AF127" s="4"/>
      <c r="AG127" s="4"/>
      <c r="AH127" s="4"/>
      <c r="AI127" s="4"/>
      <c r="AJ127" s="4"/>
      <c r="AK127" s="4"/>
      <c r="AL127" s="4"/>
      <c r="AM127" s="4"/>
      <c r="AN127" s="4"/>
    </row>
    <row r="128" spans="1:40" s="37" customFormat="1" x14ac:dyDescent="0.2">
      <c r="A128" s="57"/>
      <c r="N128" s="117"/>
      <c r="O128" s="117"/>
      <c r="P128" s="117"/>
      <c r="Q128" s="117"/>
      <c r="R128" s="117"/>
      <c r="S128" s="117"/>
      <c r="T128" s="117"/>
      <c r="U128" s="117"/>
      <c r="V128" s="117"/>
      <c r="W128" s="117"/>
      <c r="X128" s="117"/>
      <c r="Y128" s="117"/>
      <c r="Z128" s="4"/>
      <c r="AA128" s="4"/>
      <c r="AB128" s="4"/>
      <c r="AC128" s="4"/>
      <c r="AD128" s="4"/>
      <c r="AE128" s="4"/>
      <c r="AF128" s="4"/>
      <c r="AG128" s="4"/>
      <c r="AH128" s="4"/>
      <c r="AI128" s="4"/>
      <c r="AJ128" s="4"/>
      <c r="AK128" s="4"/>
      <c r="AL128" s="4"/>
      <c r="AM128" s="4"/>
      <c r="AN128" s="4"/>
    </row>
    <row r="129" spans="1:40" s="37" customFormat="1" x14ac:dyDescent="0.2">
      <c r="A129" s="57"/>
      <c r="N129" s="117"/>
      <c r="O129" s="117"/>
      <c r="P129" s="117"/>
      <c r="Q129" s="117"/>
      <c r="R129" s="117"/>
      <c r="S129" s="117"/>
      <c r="T129" s="117"/>
      <c r="U129" s="117"/>
      <c r="V129" s="117"/>
      <c r="W129" s="117"/>
      <c r="X129" s="117"/>
      <c r="Y129" s="117"/>
      <c r="Z129" s="4"/>
      <c r="AA129" s="4"/>
      <c r="AB129" s="4"/>
      <c r="AC129" s="4"/>
      <c r="AD129" s="4"/>
      <c r="AE129" s="4"/>
      <c r="AF129" s="4"/>
      <c r="AG129" s="4"/>
      <c r="AH129" s="4"/>
      <c r="AI129" s="4"/>
      <c r="AJ129" s="4"/>
      <c r="AK129" s="4"/>
      <c r="AL129" s="4"/>
      <c r="AM129" s="4"/>
      <c r="AN129" s="4"/>
    </row>
    <row r="130" spans="1:40" s="37" customFormat="1" x14ac:dyDescent="0.2">
      <c r="A130" s="57"/>
      <c r="N130" s="117"/>
      <c r="O130" s="117"/>
      <c r="P130" s="117"/>
      <c r="Q130" s="117"/>
      <c r="R130" s="117"/>
      <c r="S130" s="117"/>
      <c r="T130" s="117"/>
      <c r="U130" s="117"/>
      <c r="V130" s="117"/>
      <c r="W130" s="117"/>
      <c r="X130" s="117"/>
      <c r="Y130" s="117"/>
      <c r="Z130" s="4"/>
      <c r="AA130" s="4"/>
      <c r="AB130" s="4"/>
      <c r="AC130" s="4"/>
      <c r="AD130" s="4"/>
      <c r="AE130" s="4"/>
      <c r="AF130" s="4"/>
      <c r="AG130" s="4"/>
      <c r="AH130" s="4"/>
      <c r="AI130" s="4"/>
      <c r="AJ130" s="4"/>
      <c r="AK130" s="4"/>
      <c r="AL130" s="4"/>
      <c r="AM130" s="4"/>
      <c r="AN130" s="4"/>
    </row>
    <row r="131" spans="1:40" s="37" customFormat="1" x14ac:dyDescent="0.2">
      <c r="A131" s="57"/>
      <c r="N131" s="117"/>
      <c r="O131" s="117"/>
      <c r="P131" s="117"/>
      <c r="Q131" s="117"/>
      <c r="R131" s="117"/>
      <c r="S131" s="117"/>
      <c r="T131" s="117"/>
      <c r="U131" s="117"/>
      <c r="V131" s="117"/>
      <c r="W131" s="117"/>
      <c r="X131" s="117"/>
      <c r="Y131" s="117"/>
      <c r="Z131" s="4"/>
      <c r="AA131" s="4"/>
      <c r="AB131" s="4"/>
      <c r="AC131" s="4"/>
      <c r="AD131" s="4"/>
      <c r="AE131" s="4"/>
      <c r="AF131" s="4"/>
      <c r="AG131" s="4"/>
      <c r="AH131" s="4"/>
      <c r="AI131" s="4"/>
      <c r="AJ131" s="4"/>
      <c r="AK131" s="4"/>
      <c r="AL131" s="4"/>
      <c r="AM131" s="4"/>
      <c r="AN131" s="4"/>
    </row>
    <row r="132" spans="1:40" s="37" customFormat="1" x14ac:dyDescent="0.2">
      <c r="A132" s="57"/>
      <c r="N132" s="117"/>
      <c r="O132" s="117"/>
      <c r="P132" s="117"/>
      <c r="Q132" s="117"/>
      <c r="R132" s="117"/>
      <c r="S132" s="117"/>
      <c r="T132" s="117"/>
      <c r="U132" s="117"/>
      <c r="V132" s="117"/>
      <c r="W132" s="117"/>
      <c r="X132" s="117"/>
      <c r="Y132" s="117"/>
      <c r="Z132" s="4"/>
      <c r="AA132" s="4"/>
      <c r="AB132" s="4"/>
      <c r="AC132" s="4"/>
      <c r="AD132" s="4"/>
      <c r="AE132" s="4"/>
      <c r="AF132" s="4"/>
      <c r="AG132" s="4"/>
      <c r="AH132" s="4"/>
      <c r="AI132" s="4"/>
      <c r="AJ132" s="4"/>
      <c r="AK132" s="4"/>
      <c r="AL132" s="4"/>
      <c r="AM132" s="4"/>
      <c r="AN132" s="4"/>
    </row>
    <row r="133" spans="1:40" s="37" customFormat="1" x14ac:dyDescent="0.2">
      <c r="A133" s="57"/>
      <c r="N133" s="117"/>
      <c r="O133" s="117"/>
      <c r="P133" s="117"/>
      <c r="Q133" s="117"/>
      <c r="R133" s="117"/>
      <c r="S133" s="117"/>
      <c r="T133" s="117"/>
      <c r="U133" s="117"/>
      <c r="V133" s="117"/>
      <c r="W133" s="117"/>
      <c r="X133" s="117"/>
      <c r="Y133" s="117"/>
      <c r="Z133" s="4"/>
      <c r="AA133" s="4"/>
      <c r="AB133" s="4"/>
      <c r="AC133" s="4"/>
      <c r="AD133" s="4"/>
      <c r="AE133" s="4"/>
      <c r="AF133" s="4"/>
      <c r="AG133" s="4"/>
      <c r="AH133" s="4"/>
      <c r="AI133" s="4"/>
      <c r="AJ133" s="4"/>
      <c r="AK133" s="4"/>
      <c r="AL133" s="4"/>
      <c r="AM133" s="4"/>
      <c r="AN133" s="4"/>
    </row>
    <row r="134" spans="1:40" s="37" customFormat="1" x14ac:dyDescent="0.2">
      <c r="A134" s="57"/>
      <c r="N134" s="117"/>
      <c r="O134" s="117"/>
      <c r="P134" s="117"/>
      <c r="Q134" s="117"/>
      <c r="R134" s="117"/>
      <c r="S134" s="117"/>
      <c r="T134" s="117"/>
      <c r="U134" s="117"/>
      <c r="V134" s="117"/>
      <c r="W134" s="117"/>
      <c r="X134" s="117"/>
      <c r="Y134" s="117"/>
      <c r="Z134" s="4"/>
      <c r="AA134" s="4"/>
      <c r="AB134" s="4"/>
      <c r="AC134" s="4"/>
      <c r="AD134" s="4"/>
      <c r="AE134" s="4"/>
      <c r="AF134" s="4"/>
      <c r="AG134" s="4"/>
      <c r="AH134" s="4"/>
      <c r="AI134" s="4"/>
      <c r="AJ134" s="4"/>
      <c r="AK134" s="4"/>
      <c r="AL134" s="4"/>
      <c r="AM134" s="4"/>
      <c r="AN134" s="4"/>
    </row>
    <row r="135" spans="1:40" s="37" customFormat="1" x14ac:dyDescent="0.2">
      <c r="A135" s="57"/>
      <c r="N135" s="117"/>
      <c r="O135" s="117"/>
      <c r="P135" s="117"/>
      <c r="Q135" s="117"/>
      <c r="R135" s="117"/>
      <c r="S135" s="117"/>
      <c r="T135" s="117"/>
      <c r="U135" s="117"/>
      <c r="V135" s="117"/>
      <c r="W135" s="117"/>
      <c r="X135" s="117"/>
      <c r="Y135" s="117"/>
      <c r="Z135" s="4"/>
      <c r="AA135" s="4"/>
      <c r="AB135" s="4"/>
      <c r="AC135" s="4"/>
      <c r="AD135" s="4"/>
      <c r="AE135" s="4"/>
      <c r="AF135" s="4"/>
      <c r="AG135" s="4"/>
      <c r="AH135" s="4"/>
      <c r="AI135" s="4"/>
      <c r="AJ135" s="4"/>
      <c r="AK135" s="4"/>
      <c r="AL135" s="4"/>
      <c r="AM135" s="4"/>
      <c r="AN135" s="4"/>
    </row>
    <row r="136" spans="1:40" s="37" customFormat="1" x14ac:dyDescent="0.2">
      <c r="A136" s="57"/>
      <c r="N136" s="117"/>
      <c r="O136" s="117"/>
      <c r="P136" s="117"/>
      <c r="Q136" s="117"/>
      <c r="R136" s="117"/>
      <c r="S136" s="117"/>
      <c r="T136" s="117"/>
      <c r="U136" s="117"/>
      <c r="V136" s="117"/>
      <c r="W136" s="117"/>
      <c r="X136" s="117"/>
      <c r="Y136" s="117"/>
      <c r="Z136" s="4"/>
      <c r="AA136" s="4"/>
      <c r="AB136" s="4"/>
      <c r="AC136" s="4"/>
      <c r="AD136" s="4"/>
      <c r="AE136" s="4"/>
      <c r="AF136" s="4"/>
      <c r="AG136" s="4"/>
      <c r="AH136" s="4"/>
      <c r="AI136" s="4"/>
      <c r="AJ136" s="4"/>
      <c r="AK136" s="4"/>
      <c r="AL136" s="4"/>
      <c r="AM136" s="4"/>
      <c r="AN136" s="4"/>
    </row>
    <row r="137" spans="1:40" s="37" customFormat="1" x14ac:dyDescent="0.2">
      <c r="A137" s="57"/>
      <c r="N137" s="117"/>
      <c r="O137" s="117"/>
      <c r="P137" s="117"/>
      <c r="Q137" s="117"/>
      <c r="R137" s="117"/>
      <c r="S137" s="117"/>
      <c r="T137" s="117"/>
      <c r="U137" s="117"/>
      <c r="V137" s="117"/>
      <c r="W137" s="117"/>
      <c r="X137" s="117"/>
      <c r="Y137" s="117"/>
      <c r="Z137" s="4"/>
      <c r="AA137" s="4"/>
      <c r="AB137" s="4"/>
      <c r="AC137" s="4"/>
      <c r="AD137" s="4"/>
      <c r="AE137" s="4"/>
      <c r="AF137" s="4"/>
      <c r="AG137" s="4"/>
      <c r="AH137" s="4"/>
      <c r="AI137" s="4"/>
      <c r="AJ137" s="4"/>
      <c r="AK137" s="4"/>
      <c r="AL137" s="4"/>
      <c r="AM137" s="4"/>
      <c r="AN137" s="4"/>
    </row>
    <row r="138" spans="1:40" s="37" customFormat="1" x14ac:dyDescent="0.2">
      <c r="A138" s="57"/>
      <c r="N138" s="117"/>
      <c r="O138" s="117"/>
      <c r="P138" s="117"/>
      <c r="Q138" s="117"/>
      <c r="R138" s="117"/>
      <c r="S138" s="117"/>
      <c r="T138" s="4"/>
      <c r="U138" s="4"/>
      <c r="V138" s="4"/>
      <c r="W138" s="4"/>
      <c r="X138" s="4"/>
      <c r="Y138" s="4"/>
      <c r="Z138" s="4"/>
      <c r="AA138" s="4"/>
      <c r="AB138" s="4"/>
      <c r="AC138" s="4"/>
      <c r="AD138" s="4"/>
      <c r="AE138" s="4"/>
      <c r="AF138" s="4"/>
      <c r="AG138" s="4"/>
      <c r="AH138" s="4"/>
      <c r="AI138" s="4"/>
      <c r="AJ138" s="4"/>
      <c r="AK138" s="4"/>
      <c r="AL138" s="4"/>
      <c r="AM138" s="4"/>
      <c r="AN138" s="4"/>
    </row>
    <row r="139" spans="1:40" s="37" customFormat="1" x14ac:dyDescent="0.2">
      <c r="A139" s="57"/>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row>
    <row r="140" spans="1:40" s="37" customFormat="1" x14ac:dyDescent="0.2">
      <c r="A140" s="57"/>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row>
    <row r="141" spans="1:40" s="37" customFormat="1" x14ac:dyDescent="0.2">
      <c r="A141" s="57"/>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row>
    <row r="142" spans="1:40" s="37" customFormat="1" x14ac:dyDescent="0.2">
      <c r="A142" s="57"/>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row>
    <row r="143" spans="1:40" s="37" customFormat="1" x14ac:dyDescent="0.2">
      <c r="A143" s="57"/>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row>
    <row r="144" spans="1:40" s="37" customFormat="1" x14ac:dyDescent="0.2">
      <c r="A144" s="57"/>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row>
    <row r="145" spans="1:40" s="37" customFormat="1" x14ac:dyDescent="0.2">
      <c r="A145" s="57"/>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row>
    <row r="146" spans="1:40" s="37" customFormat="1" x14ac:dyDescent="0.2">
      <c r="A146" s="57"/>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row>
    <row r="147" spans="1:40" s="37" customFormat="1" x14ac:dyDescent="0.2">
      <c r="A147" s="57"/>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row>
    <row r="148" spans="1:40" s="37" customFormat="1" x14ac:dyDescent="0.2">
      <c r="A148" s="57"/>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row>
    <row r="149" spans="1:40" s="37" customFormat="1" x14ac:dyDescent="0.2">
      <c r="A149" s="57"/>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row>
    <row r="150" spans="1:40" s="37" customFormat="1" x14ac:dyDescent="0.2">
      <c r="A150" s="57"/>
    </row>
    <row r="151" spans="1:40" s="37" customFormat="1" x14ac:dyDescent="0.2">
      <c r="A151" s="57"/>
    </row>
    <row r="152" spans="1:40" s="37" customFormat="1" x14ac:dyDescent="0.2">
      <c r="A152" s="57"/>
    </row>
    <row r="153" spans="1:40" s="37" customFormat="1" x14ac:dyDescent="0.2">
      <c r="A153" s="57"/>
    </row>
    <row r="154" spans="1:40" s="37" customFormat="1" x14ac:dyDescent="0.2">
      <c r="A154" s="57"/>
    </row>
    <row r="155" spans="1:40" s="37" customFormat="1" x14ac:dyDescent="0.2">
      <c r="A155" s="57"/>
    </row>
    <row r="156" spans="1:40" s="37" customFormat="1" x14ac:dyDescent="0.2">
      <c r="A156" s="57"/>
    </row>
    <row r="157" spans="1:40" s="37" customFormat="1" x14ac:dyDescent="0.2">
      <c r="A157" s="57"/>
    </row>
    <row r="158" spans="1:40" s="37" customFormat="1" x14ac:dyDescent="0.2">
      <c r="A158" s="57"/>
    </row>
    <row r="159" spans="1:40" s="37" customFormat="1" x14ac:dyDescent="0.2">
      <c r="A159" s="57"/>
    </row>
    <row r="160" spans="1:40" s="37" customFormat="1" x14ac:dyDescent="0.2">
      <c r="A160" s="57"/>
    </row>
    <row r="161" spans="1:1" s="37" customFormat="1" x14ac:dyDescent="0.2">
      <c r="A161" s="57"/>
    </row>
    <row r="162" spans="1:1" s="37" customFormat="1" x14ac:dyDescent="0.2">
      <c r="A162" s="57"/>
    </row>
    <row r="163" spans="1:1" s="37" customFormat="1" x14ac:dyDescent="0.2">
      <c r="A163" s="57"/>
    </row>
    <row r="164" spans="1:1" s="37" customFormat="1" x14ac:dyDescent="0.2">
      <c r="A164" s="57"/>
    </row>
    <row r="165" spans="1:1" s="37" customFormat="1" x14ac:dyDescent="0.2">
      <c r="A165" s="57"/>
    </row>
    <row r="166" spans="1:1" s="37" customFormat="1" x14ac:dyDescent="0.2">
      <c r="A166" s="57"/>
    </row>
    <row r="167" spans="1:1" s="37" customFormat="1" x14ac:dyDescent="0.2">
      <c r="A167" s="57"/>
    </row>
    <row r="168" spans="1:1" s="37" customFormat="1" x14ac:dyDescent="0.2">
      <c r="A168" s="57"/>
    </row>
    <row r="169" spans="1:1" s="37" customFormat="1" x14ac:dyDescent="0.2">
      <c r="A169" s="57"/>
    </row>
    <row r="170" spans="1:1" s="37" customFormat="1" x14ac:dyDescent="0.2">
      <c r="A170" s="57"/>
    </row>
    <row r="171" spans="1:1" s="37" customFormat="1" x14ac:dyDescent="0.2">
      <c r="A171" s="57"/>
    </row>
    <row r="172" spans="1:1" s="37" customFormat="1" x14ac:dyDescent="0.2">
      <c r="A172" s="57"/>
    </row>
    <row r="173" spans="1:1" s="37" customFormat="1" x14ac:dyDescent="0.2">
      <c r="A173" s="57"/>
    </row>
    <row r="174" spans="1:1" s="37" customFormat="1" x14ac:dyDescent="0.2">
      <c r="A174" s="57"/>
    </row>
    <row r="175" spans="1:1" s="37" customFormat="1" x14ac:dyDescent="0.2">
      <c r="A175" s="57"/>
    </row>
    <row r="176" spans="1:1" s="37" customFormat="1" x14ac:dyDescent="0.2">
      <c r="A176" s="57"/>
    </row>
    <row r="177" spans="1:1" s="37" customFormat="1" x14ac:dyDescent="0.2">
      <c r="A177" s="57"/>
    </row>
    <row r="178" spans="1:1" s="37" customFormat="1" x14ac:dyDescent="0.2">
      <c r="A178" s="57"/>
    </row>
    <row r="179" spans="1:1" s="37" customFormat="1" x14ac:dyDescent="0.2">
      <c r="A179" s="57"/>
    </row>
    <row r="180" spans="1:1" s="37" customFormat="1" x14ac:dyDescent="0.2">
      <c r="A180" s="57"/>
    </row>
    <row r="181" spans="1:1" s="37" customFormat="1" x14ac:dyDescent="0.2">
      <c r="A181" s="57"/>
    </row>
    <row r="182" spans="1:1" s="37" customFormat="1" x14ac:dyDescent="0.2">
      <c r="A182" s="57"/>
    </row>
    <row r="183" spans="1:1" s="37" customFormat="1" x14ac:dyDescent="0.2">
      <c r="A183" s="57"/>
    </row>
    <row r="184" spans="1:1" s="37" customFormat="1" x14ac:dyDescent="0.2">
      <c r="A184" s="57"/>
    </row>
    <row r="185" spans="1:1" s="37" customFormat="1" x14ac:dyDescent="0.2">
      <c r="A185" s="57"/>
    </row>
    <row r="186" spans="1:1" s="37" customFormat="1" x14ac:dyDescent="0.2">
      <c r="A186" s="57"/>
    </row>
    <row r="187" spans="1:1" s="37" customFormat="1" x14ac:dyDescent="0.2">
      <c r="A187" s="57"/>
    </row>
    <row r="188" spans="1:1" s="37" customFormat="1" x14ac:dyDescent="0.2">
      <c r="A188" s="57"/>
    </row>
    <row r="189" spans="1:1" s="37" customFormat="1" x14ac:dyDescent="0.2">
      <c r="A189" s="57"/>
    </row>
    <row r="190" spans="1:1" s="37" customFormat="1" x14ac:dyDescent="0.2">
      <c r="A190" s="57"/>
    </row>
    <row r="191" spans="1:1" s="37" customFormat="1" x14ac:dyDescent="0.2">
      <c r="A191" s="57"/>
    </row>
    <row r="192" spans="1:1" s="37" customFormat="1" x14ac:dyDescent="0.2">
      <c r="A192" s="57"/>
    </row>
    <row r="193" spans="1:1" s="37" customFormat="1" x14ac:dyDescent="0.2">
      <c r="A193" s="57"/>
    </row>
    <row r="194" spans="1:1" s="37" customFormat="1" x14ac:dyDescent="0.2">
      <c r="A194" s="57"/>
    </row>
    <row r="195" spans="1:1" s="37" customFormat="1" x14ac:dyDescent="0.2">
      <c r="A195" s="57"/>
    </row>
    <row r="196" spans="1:1" s="37" customFormat="1" x14ac:dyDescent="0.2">
      <c r="A196" s="57"/>
    </row>
    <row r="197" spans="1:1" s="37" customFormat="1" x14ac:dyDescent="0.2">
      <c r="A197" s="57"/>
    </row>
    <row r="198" spans="1:1" s="37" customFormat="1" x14ac:dyDescent="0.2">
      <c r="A198" s="57"/>
    </row>
    <row r="199" spans="1:1" s="37" customFormat="1" x14ac:dyDescent="0.2">
      <c r="A199" s="57"/>
    </row>
    <row r="200" spans="1:1" s="37" customFormat="1" x14ac:dyDescent="0.2">
      <c r="A200" s="57"/>
    </row>
    <row r="201" spans="1:1" s="37" customFormat="1" x14ac:dyDescent="0.2">
      <c r="A201" s="57"/>
    </row>
    <row r="202" spans="1:1" s="37" customFormat="1" x14ac:dyDescent="0.2">
      <c r="A202" s="57"/>
    </row>
    <row r="203" spans="1:1" s="37" customFormat="1" x14ac:dyDescent="0.2">
      <c r="A203" s="57"/>
    </row>
    <row r="204" spans="1:1" s="37" customFormat="1" x14ac:dyDescent="0.2">
      <c r="A204" s="57"/>
    </row>
    <row r="205" spans="1:1" s="37" customFormat="1" x14ac:dyDescent="0.2">
      <c r="A205" s="57"/>
    </row>
    <row r="206" spans="1:1" s="37" customFormat="1" x14ac:dyDescent="0.2">
      <c r="A206" s="57"/>
    </row>
    <row r="207" spans="1:1" s="37" customFormat="1" x14ac:dyDescent="0.2">
      <c r="A207" s="57"/>
    </row>
    <row r="208" spans="1:1" s="37" customFormat="1" x14ac:dyDescent="0.2">
      <c r="A208" s="57"/>
    </row>
    <row r="209" spans="1:1" s="37" customFormat="1" x14ac:dyDescent="0.2">
      <c r="A209" s="57"/>
    </row>
    <row r="210" spans="1:1" s="37" customFormat="1" x14ac:dyDescent="0.2">
      <c r="A210" s="57"/>
    </row>
    <row r="211" spans="1:1" s="37" customFormat="1" x14ac:dyDescent="0.2">
      <c r="A211" s="57"/>
    </row>
    <row r="212" spans="1:1" s="37" customFormat="1" x14ac:dyDescent="0.2">
      <c r="A212" s="57"/>
    </row>
    <row r="213" spans="1:1" s="37" customFormat="1" x14ac:dyDescent="0.2">
      <c r="A213" s="57"/>
    </row>
    <row r="214" spans="1:1" s="37" customFormat="1" x14ac:dyDescent="0.2">
      <c r="A214" s="57"/>
    </row>
    <row r="215" spans="1:1" s="37" customFormat="1" x14ac:dyDescent="0.2">
      <c r="A215" s="57"/>
    </row>
    <row r="216" spans="1:1" s="37" customFormat="1" x14ac:dyDescent="0.2">
      <c r="A216" s="57"/>
    </row>
    <row r="217" spans="1:1" s="37" customFormat="1" x14ac:dyDescent="0.2">
      <c r="A217" s="57"/>
    </row>
    <row r="218" spans="1:1" s="37" customFormat="1" x14ac:dyDescent="0.2">
      <c r="A218" s="57"/>
    </row>
    <row r="219" spans="1:1" s="37" customFormat="1" x14ac:dyDescent="0.2">
      <c r="A219" s="57"/>
    </row>
    <row r="220" spans="1:1" s="37" customFormat="1" x14ac:dyDescent="0.2">
      <c r="A220" s="57"/>
    </row>
    <row r="221" spans="1:1" s="37" customFormat="1" x14ac:dyDescent="0.2">
      <c r="A221" s="57"/>
    </row>
    <row r="222" spans="1:1" s="37" customFormat="1" x14ac:dyDescent="0.2">
      <c r="A222" s="57"/>
    </row>
    <row r="223" spans="1:1" s="37" customFormat="1" x14ac:dyDescent="0.2">
      <c r="A223" s="57"/>
    </row>
    <row r="224" spans="1:1" s="37" customFormat="1" x14ac:dyDescent="0.2">
      <c r="A224" s="57"/>
    </row>
    <row r="225" spans="1:1" s="37" customFormat="1" x14ac:dyDescent="0.2">
      <c r="A225" s="57"/>
    </row>
    <row r="226" spans="1:1" s="37" customFormat="1" x14ac:dyDescent="0.2">
      <c r="A226" s="57"/>
    </row>
    <row r="227" spans="1:1" s="37" customFormat="1" x14ac:dyDescent="0.2">
      <c r="A227" s="57"/>
    </row>
    <row r="228" spans="1:1" s="37" customFormat="1" x14ac:dyDescent="0.2">
      <c r="A228" s="57"/>
    </row>
    <row r="229" spans="1:1" s="37" customFormat="1" x14ac:dyDescent="0.2">
      <c r="A229" s="57"/>
    </row>
    <row r="230" spans="1:1" s="37" customFormat="1" x14ac:dyDescent="0.2">
      <c r="A230" s="57"/>
    </row>
    <row r="231" spans="1:1" s="37" customFormat="1" x14ac:dyDescent="0.2">
      <c r="A231" s="57"/>
    </row>
    <row r="232" spans="1:1" s="37" customFormat="1" x14ac:dyDescent="0.2">
      <c r="A232" s="57"/>
    </row>
    <row r="233" spans="1:1" s="37" customFormat="1" x14ac:dyDescent="0.2">
      <c r="A233" s="57"/>
    </row>
    <row r="234" spans="1:1" s="37" customFormat="1" x14ac:dyDescent="0.2">
      <c r="A234" s="57"/>
    </row>
    <row r="235" spans="1:1" s="37" customFormat="1" x14ac:dyDescent="0.2">
      <c r="A235" s="57"/>
    </row>
    <row r="236" spans="1:1" s="37" customFormat="1" x14ac:dyDescent="0.2">
      <c r="A236" s="57"/>
    </row>
    <row r="237" spans="1:1" s="37" customFormat="1" x14ac:dyDescent="0.2">
      <c r="A237" s="57"/>
    </row>
    <row r="238" spans="1:1" s="37" customFormat="1" x14ac:dyDescent="0.2">
      <c r="A238" s="57"/>
    </row>
    <row r="239" spans="1:1" s="37" customFormat="1" x14ac:dyDescent="0.2">
      <c r="A239" s="57"/>
    </row>
    <row r="240" spans="1:1" s="37" customFormat="1" x14ac:dyDescent="0.2">
      <c r="A240" s="57"/>
    </row>
    <row r="241" spans="1:1" s="37" customFormat="1" x14ac:dyDescent="0.2">
      <c r="A241" s="57"/>
    </row>
    <row r="242" spans="1:1" s="37" customFormat="1" x14ac:dyDescent="0.2">
      <c r="A242" s="57"/>
    </row>
    <row r="243" spans="1:1" s="37" customFormat="1" x14ac:dyDescent="0.2">
      <c r="A243" s="57"/>
    </row>
    <row r="244" spans="1:1" s="37" customFormat="1" x14ac:dyDescent="0.2">
      <c r="A244" s="57"/>
    </row>
    <row r="245" spans="1:1" s="37" customFormat="1" x14ac:dyDescent="0.2">
      <c r="A245" s="57"/>
    </row>
    <row r="246" spans="1:1" s="37" customFormat="1" x14ac:dyDescent="0.2">
      <c r="A246" s="57"/>
    </row>
    <row r="247" spans="1:1" s="37" customFormat="1" x14ac:dyDescent="0.2">
      <c r="A247" s="57"/>
    </row>
    <row r="248" spans="1:1" s="37" customFormat="1" x14ac:dyDescent="0.2">
      <c r="A248" s="57"/>
    </row>
    <row r="249" spans="1:1" s="37" customFormat="1" x14ac:dyDescent="0.2">
      <c r="A249" s="57"/>
    </row>
    <row r="250" spans="1:1" s="37" customFormat="1" x14ac:dyDescent="0.2">
      <c r="A250" s="57"/>
    </row>
    <row r="251" spans="1:1" s="37" customFormat="1" x14ac:dyDescent="0.2">
      <c r="A251" s="57"/>
    </row>
    <row r="252" spans="1:1" s="37" customFormat="1" x14ac:dyDescent="0.2">
      <c r="A252" s="57"/>
    </row>
    <row r="253" spans="1:1" s="37" customFormat="1" x14ac:dyDescent="0.2">
      <c r="A253" s="57"/>
    </row>
    <row r="254" spans="1:1" s="37" customFormat="1" x14ac:dyDescent="0.2">
      <c r="A254" s="57"/>
    </row>
    <row r="255" spans="1:1" s="37" customFormat="1" x14ac:dyDescent="0.2">
      <c r="A255" s="57"/>
    </row>
    <row r="256" spans="1:1" s="37" customFormat="1" x14ac:dyDescent="0.2">
      <c r="A256" s="57"/>
    </row>
    <row r="257" spans="1:1" s="37" customFormat="1" x14ac:dyDescent="0.2">
      <c r="A257" s="57"/>
    </row>
    <row r="258" spans="1:1" s="37" customFormat="1" x14ac:dyDescent="0.2">
      <c r="A258" s="57"/>
    </row>
    <row r="259" spans="1:1" s="37" customFormat="1" x14ac:dyDescent="0.2">
      <c r="A259" s="57"/>
    </row>
    <row r="260" spans="1:1" s="37" customFormat="1" x14ac:dyDescent="0.2">
      <c r="A260" s="57"/>
    </row>
    <row r="261" spans="1:1" s="37" customFormat="1" x14ac:dyDescent="0.2">
      <c r="A261" s="57"/>
    </row>
    <row r="262" spans="1:1" s="37" customFormat="1" x14ac:dyDescent="0.2">
      <c r="A262" s="57"/>
    </row>
    <row r="263" spans="1:1" s="37" customFormat="1" x14ac:dyDescent="0.2">
      <c r="A263" s="57"/>
    </row>
    <row r="264" spans="1:1" s="37" customFormat="1" x14ac:dyDescent="0.2">
      <c r="A264" s="57"/>
    </row>
    <row r="265" spans="1:1" s="37" customFormat="1" x14ac:dyDescent="0.2">
      <c r="A265" s="57"/>
    </row>
    <row r="266" spans="1:1" s="37" customFormat="1" x14ac:dyDescent="0.2">
      <c r="A266" s="57"/>
    </row>
    <row r="267" spans="1:1" s="37" customFormat="1" x14ac:dyDescent="0.2">
      <c r="A267" s="57"/>
    </row>
    <row r="268" spans="1:1" s="37" customFormat="1" x14ac:dyDescent="0.2">
      <c r="A268" s="57"/>
    </row>
    <row r="269" spans="1:1" s="37" customFormat="1" x14ac:dyDescent="0.2">
      <c r="A269" s="57"/>
    </row>
    <row r="270" spans="1:1" s="37" customFormat="1" x14ac:dyDescent="0.2">
      <c r="A270" s="57"/>
    </row>
    <row r="271" spans="1:1" s="37" customFormat="1" x14ac:dyDescent="0.2">
      <c r="A271" s="57"/>
    </row>
    <row r="272" spans="1:1" s="37" customFormat="1" x14ac:dyDescent="0.2">
      <c r="A272" s="57"/>
    </row>
    <row r="273" spans="1:1" s="37" customFormat="1" x14ac:dyDescent="0.2">
      <c r="A273" s="57"/>
    </row>
    <row r="274" spans="1:1" s="37" customFormat="1" x14ac:dyDescent="0.2">
      <c r="A274" s="57"/>
    </row>
    <row r="275" spans="1:1" s="37" customFormat="1" x14ac:dyDescent="0.2">
      <c r="A275" s="57"/>
    </row>
    <row r="276" spans="1:1" s="37" customFormat="1" x14ac:dyDescent="0.2">
      <c r="A276" s="57"/>
    </row>
    <row r="277" spans="1:1" s="37" customFormat="1" x14ac:dyDescent="0.2">
      <c r="A277" s="57"/>
    </row>
    <row r="278" spans="1:1" s="37" customFormat="1" x14ac:dyDescent="0.2">
      <c r="A278" s="57"/>
    </row>
    <row r="279" spans="1:1" s="37" customFormat="1" x14ac:dyDescent="0.2">
      <c r="A279" s="57"/>
    </row>
    <row r="280" spans="1:1" s="37" customFormat="1" x14ac:dyDescent="0.2">
      <c r="A280" s="57"/>
    </row>
    <row r="281" spans="1:1" s="37" customFormat="1" x14ac:dyDescent="0.2">
      <c r="A281" s="57"/>
    </row>
    <row r="282" spans="1:1" s="37" customFormat="1" x14ac:dyDescent="0.2">
      <c r="A282" s="57"/>
    </row>
    <row r="283" spans="1:1" s="37" customFormat="1" x14ac:dyDescent="0.2">
      <c r="A283" s="57"/>
    </row>
    <row r="284" spans="1:1" s="37" customFormat="1" x14ac:dyDescent="0.2">
      <c r="A284" s="57"/>
    </row>
    <row r="285" spans="1:1" s="37" customFormat="1" x14ac:dyDescent="0.2">
      <c r="A285" s="57"/>
    </row>
    <row r="286" spans="1:1" s="37" customFormat="1" x14ac:dyDescent="0.2">
      <c r="A286" s="57"/>
    </row>
    <row r="287" spans="1:1" s="37" customFormat="1" x14ac:dyDescent="0.2">
      <c r="A287" s="57"/>
    </row>
    <row r="288" spans="1:1" s="37" customFormat="1" x14ac:dyDescent="0.2">
      <c r="A288" s="57"/>
    </row>
    <row r="289" spans="1:1" s="37" customFormat="1" x14ac:dyDescent="0.2">
      <c r="A289" s="57"/>
    </row>
    <row r="290" spans="1:1" s="37" customFormat="1" x14ac:dyDescent="0.2">
      <c r="A290" s="57"/>
    </row>
    <row r="291" spans="1:1" s="37" customFormat="1" x14ac:dyDescent="0.2">
      <c r="A291" s="57"/>
    </row>
    <row r="292" spans="1:1" s="37" customFormat="1" x14ac:dyDescent="0.2">
      <c r="A292" s="57"/>
    </row>
    <row r="293" spans="1:1" s="37" customFormat="1" x14ac:dyDescent="0.2">
      <c r="A293" s="57"/>
    </row>
    <row r="294" spans="1:1" s="37" customFormat="1" x14ac:dyDescent="0.2">
      <c r="A294" s="57"/>
    </row>
    <row r="295" spans="1:1" s="37" customFormat="1" x14ac:dyDescent="0.2">
      <c r="A295" s="57"/>
    </row>
    <row r="296" spans="1:1" s="37" customFormat="1" x14ac:dyDescent="0.2">
      <c r="A296" s="57"/>
    </row>
    <row r="297" spans="1:1" s="37" customFormat="1" x14ac:dyDescent="0.2">
      <c r="A297" s="57"/>
    </row>
    <row r="298" spans="1:1" s="37" customFormat="1" x14ac:dyDescent="0.2">
      <c r="A298" s="57"/>
    </row>
    <row r="299" spans="1:1" s="37" customFormat="1" x14ac:dyDescent="0.2">
      <c r="A299" s="57"/>
    </row>
    <row r="300" spans="1:1" s="37" customFormat="1" x14ac:dyDescent="0.2">
      <c r="A300" s="57"/>
    </row>
    <row r="301" spans="1:1" s="37" customFormat="1" x14ac:dyDescent="0.2">
      <c r="A301" s="57"/>
    </row>
    <row r="302" spans="1:1" s="37" customFormat="1" x14ac:dyDescent="0.2">
      <c r="A302" s="57"/>
    </row>
    <row r="303" spans="1:1" s="37" customFormat="1" x14ac:dyDescent="0.2">
      <c r="A303" s="57"/>
    </row>
    <row r="304" spans="1:1" s="37" customFormat="1" x14ac:dyDescent="0.2">
      <c r="A304" s="57"/>
    </row>
    <row r="305" spans="1:1" s="37" customFormat="1" x14ac:dyDescent="0.2">
      <c r="A305" s="57"/>
    </row>
    <row r="306" spans="1:1" s="37" customFormat="1" x14ac:dyDescent="0.2">
      <c r="A306" s="57"/>
    </row>
    <row r="307" spans="1:1" s="37" customFormat="1" x14ac:dyDescent="0.2">
      <c r="A307" s="57"/>
    </row>
    <row r="308" spans="1:1" s="37" customFormat="1" x14ac:dyDescent="0.2">
      <c r="A308" s="57"/>
    </row>
    <row r="309" spans="1:1" s="37" customFormat="1" x14ac:dyDescent="0.2">
      <c r="A309" s="57"/>
    </row>
    <row r="310" spans="1:1" s="37" customFormat="1" x14ac:dyDescent="0.2">
      <c r="A310" s="57"/>
    </row>
    <row r="311" spans="1:1" s="37" customFormat="1" x14ac:dyDescent="0.2">
      <c r="A311" s="57"/>
    </row>
    <row r="312" spans="1:1" s="37" customFormat="1" x14ac:dyDescent="0.2">
      <c r="A312" s="57"/>
    </row>
    <row r="313" spans="1:1" s="37" customFormat="1" x14ac:dyDescent="0.2">
      <c r="A313" s="57"/>
    </row>
    <row r="314" spans="1:1" s="37" customFormat="1" x14ac:dyDescent="0.2">
      <c r="A314" s="57"/>
    </row>
    <row r="315" spans="1:1" s="37" customFormat="1" x14ac:dyDescent="0.2">
      <c r="A315" s="57"/>
    </row>
    <row r="316" spans="1:1" s="37" customFormat="1" x14ac:dyDescent="0.2">
      <c r="A316" s="57"/>
    </row>
    <row r="317" spans="1:1" s="37" customFormat="1" x14ac:dyDescent="0.2">
      <c r="A317" s="57"/>
    </row>
    <row r="318" spans="1:1" s="37" customFormat="1" x14ac:dyDescent="0.2">
      <c r="A318" s="57"/>
    </row>
    <row r="319" spans="1:1" s="37" customFormat="1" x14ac:dyDescent="0.2">
      <c r="A319" s="57"/>
    </row>
    <row r="320" spans="1:1" s="37" customFormat="1" x14ac:dyDescent="0.2">
      <c r="A320" s="57"/>
    </row>
    <row r="321" spans="1:1" s="37" customFormat="1" x14ac:dyDescent="0.2">
      <c r="A321" s="57"/>
    </row>
    <row r="322" spans="1:1" s="37" customFormat="1" x14ac:dyDescent="0.2">
      <c r="A322" s="57"/>
    </row>
    <row r="323" spans="1:1" s="37" customFormat="1" x14ac:dyDescent="0.2">
      <c r="A323" s="57"/>
    </row>
    <row r="324" spans="1:1" s="37" customFormat="1" x14ac:dyDescent="0.2">
      <c r="A324" s="57"/>
    </row>
    <row r="325" spans="1:1" s="37" customFormat="1" x14ac:dyDescent="0.2">
      <c r="A325" s="57"/>
    </row>
    <row r="326" spans="1:1" s="37" customFormat="1" x14ac:dyDescent="0.2">
      <c r="A326" s="57"/>
    </row>
    <row r="327" spans="1:1" s="37" customFormat="1" x14ac:dyDescent="0.2">
      <c r="A327" s="57"/>
    </row>
    <row r="328" spans="1:1" s="37" customFormat="1" x14ac:dyDescent="0.2">
      <c r="A328" s="57"/>
    </row>
    <row r="329" spans="1:1" s="37" customFormat="1" x14ac:dyDescent="0.2">
      <c r="A329" s="57"/>
    </row>
    <row r="330" spans="1:1" s="37" customFormat="1" x14ac:dyDescent="0.2">
      <c r="A330" s="57"/>
    </row>
    <row r="331" spans="1:1" s="37" customFormat="1" x14ac:dyDescent="0.2">
      <c r="A331" s="57"/>
    </row>
    <row r="332" spans="1:1" s="37" customFormat="1" x14ac:dyDescent="0.2">
      <c r="A332" s="57"/>
    </row>
    <row r="333" spans="1:1" s="37" customFormat="1" x14ac:dyDescent="0.2">
      <c r="A333" s="57"/>
    </row>
    <row r="334" spans="1:1" s="37" customFormat="1" x14ac:dyDescent="0.2">
      <c r="A334" s="57"/>
    </row>
    <row r="335" spans="1:1" s="37" customFormat="1" x14ac:dyDescent="0.2">
      <c r="A335" s="57"/>
    </row>
    <row r="336" spans="1:1" s="37" customFormat="1" x14ac:dyDescent="0.2">
      <c r="A336" s="57"/>
    </row>
    <row r="337" spans="1:1" s="37" customFormat="1" x14ac:dyDescent="0.2">
      <c r="A337" s="57"/>
    </row>
    <row r="338" spans="1:1" s="37" customFormat="1" x14ac:dyDescent="0.2">
      <c r="A338" s="57"/>
    </row>
    <row r="339" spans="1:1" s="37" customFormat="1" x14ac:dyDescent="0.2">
      <c r="A339" s="57"/>
    </row>
    <row r="340" spans="1:1" s="37" customFormat="1" x14ac:dyDescent="0.2">
      <c r="A340" s="57"/>
    </row>
    <row r="341" spans="1:1" s="37" customFormat="1" x14ac:dyDescent="0.2">
      <c r="A341" s="57"/>
    </row>
    <row r="342" spans="1:1" s="37" customFormat="1" x14ac:dyDescent="0.2">
      <c r="A342" s="57"/>
    </row>
    <row r="343" spans="1:1" s="37" customFormat="1" x14ac:dyDescent="0.2">
      <c r="A343" s="57"/>
    </row>
    <row r="344" spans="1:1" s="37" customFormat="1" x14ac:dyDescent="0.2">
      <c r="A344" s="57"/>
    </row>
    <row r="345" spans="1:1" s="37" customFormat="1" x14ac:dyDescent="0.2">
      <c r="A345" s="57"/>
    </row>
    <row r="346" spans="1:1" s="37" customFormat="1" x14ac:dyDescent="0.2">
      <c r="A346" s="57"/>
    </row>
    <row r="347" spans="1:1" s="37" customFormat="1" x14ac:dyDescent="0.2">
      <c r="A347" s="57"/>
    </row>
    <row r="348" spans="1:1" s="37" customFormat="1" x14ac:dyDescent="0.2">
      <c r="A348" s="57"/>
    </row>
    <row r="349" spans="1:1" s="37" customFormat="1" x14ac:dyDescent="0.2">
      <c r="A349" s="57"/>
    </row>
    <row r="350" spans="1:1" s="37" customFormat="1" x14ac:dyDescent="0.2">
      <c r="A350" s="57"/>
    </row>
    <row r="351" spans="1:1" s="37" customFormat="1" x14ac:dyDescent="0.2">
      <c r="A351" s="57"/>
    </row>
    <row r="352" spans="1:1" s="37" customFormat="1" x14ac:dyDescent="0.2">
      <c r="A352" s="57"/>
    </row>
    <row r="353" spans="1:1" s="37" customFormat="1" x14ac:dyDescent="0.2">
      <c r="A353" s="57"/>
    </row>
    <row r="354" spans="1:1" s="37" customFormat="1" x14ac:dyDescent="0.2">
      <c r="A354" s="57"/>
    </row>
    <row r="355" spans="1:1" s="37" customFormat="1" x14ac:dyDescent="0.2">
      <c r="A355" s="57"/>
    </row>
    <row r="356" spans="1:1" s="37" customFormat="1" x14ac:dyDescent="0.2">
      <c r="A356" s="57"/>
    </row>
    <row r="357" spans="1:1" s="37" customFormat="1" x14ac:dyDescent="0.2">
      <c r="A357" s="57"/>
    </row>
    <row r="358" spans="1:1" s="37" customFormat="1" x14ac:dyDescent="0.2">
      <c r="A358" s="57"/>
    </row>
    <row r="359" spans="1:1" s="37" customFormat="1" x14ac:dyDescent="0.2">
      <c r="A359" s="57"/>
    </row>
    <row r="360" spans="1:1" s="37" customFormat="1" x14ac:dyDescent="0.2">
      <c r="A360" s="57"/>
    </row>
    <row r="361" spans="1:1" s="37" customFormat="1" x14ac:dyDescent="0.2">
      <c r="A361" s="57"/>
    </row>
    <row r="362" spans="1:1" s="37" customFormat="1" x14ac:dyDescent="0.2">
      <c r="A362" s="57"/>
    </row>
    <row r="363" spans="1:1" s="37" customFormat="1" x14ac:dyDescent="0.2">
      <c r="A363" s="57"/>
    </row>
    <row r="364" spans="1:1" s="37" customFormat="1" x14ac:dyDescent="0.2">
      <c r="A364" s="57"/>
    </row>
    <row r="365" spans="1:1" s="37" customFormat="1" x14ac:dyDescent="0.2">
      <c r="A365" s="57"/>
    </row>
    <row r="366" spans="1:1" s="37" customFormat="1" x14ac:dyDescent="0.2">
      <c r="A366" s="57"/>
    </row>
    <row r="367" spans="1:1" s="37" customFormat="1" x14ac:dyDescent="0.2">
      <c r="A367" s="57"/>
    </row>
    <row r="368" spans="1:1" s="37" customFormat="1" x14ac:dyDescent="0.2">
      <c r="A368" s="57"/>
    </row>
    <row r="369" spans="1:1" s="37" customFormat="1" x14ac:dyDescent="0.2">
      <c r="A369" s="57"/>
    </row>
    <row r="370" spans="1:1" s="37" customFormat="1" x14ac:dyDescent="0.2">
      <c r="A370" s="57"/>
    </row>
    <row r="371" spans="1:1" s="37" customFormat="1" x14ac:dyDescent="0.2">
      <c r="A371" s="57"/>
    </row>
    <row r="372" spans="1:1" s="37" customFormat="1" x14ac:dyDescent="0.2">
      <c r="A372" s="57"/>
    </row>
    <row r="373" spans="1:1" s="37" customFormat="1" x14ac:dyDescent="0.2">
      <c r="A373" s="57"/>
    </row>
    <row r="374" spans="1:1" s="37" customFormat="1" x14ac:dyDescent="0.2">
      <c r="A374" s="57"/>
    </row>
    <row r="375" spans="1:1" s="37" customFormat="1" x14ac:dyDescent="0.2">
      <c r="A375" s="57"/>
    </row>
    <row r="376" spans="1:1" s="37" customFormat="1" x14ac:dyDescent="0.2">
      <c r="A376" s="57"/>
    </row>
    <row r="377" spans="1:1" s="37" customFormat="1" x14ac:dyDescent="0.2">
      <c r="A377" s="57"/>
    </row>
    <row r="378" spans="1:1" s="37" customFormat="1" x14ac:dyDescent="0.2">
      <c r="A378" s="57"/>
    </row>
    <row r="379" spans="1:1" s="37" customFormat="1" x14ac:dyDescent="0.2">
      <c r="A379" s="57"/>
    </row>
    <row r="380" spans="1:1" s="37" customFormat="1" x14ac:dyDescent="0.2">
      <c r="A380" s="57"/>
    </row>
    <row r="381" spans="1:1" s="37" customFormat="1" x14ac:dyDescent="0.2">
      <c r="A381" s="57"/>
    </row>
    <row r="382" spans="1:1" s="37" customFormat="1" x14ac:dyDescent="0.2">
      <c r="A382" s="57"/>
    </row>
    <row r="383" spans="1:1" s="37" customFormat="1" x14ac:dyDescent="0.2">
      <c r="A383" s="57"/>
    </row>
    <row r="384" spans="1:1" s="37" customFormat="1" x14ac:dyDescent="0.2">
      <c r="A384" s="57"/>
    </row>
    <row r="385" spans="1:1" s="37" customFormat="1" x14ac:dyDescent="0.2">
      <c r="A385" s="57"/>
    </row>
    <row r="386" spans="1:1" s="37" customFormat="1" x14ac:dyDescent="0.2">
      <c r="A386" s="57"/>
    </row>
    <row r="387" spans="1:1" s="37" customFormat="1" x14ac:dyDescent="0.2">
      <c r="A387" s="57"/>
    </row>
    <row r="388" spans="1:1" s="37" customFormat="1" x14ac:dyDescent="0.2">
      <c r="A388" s="57"/>
    </row>
    <row r="389" spans="1:1" s="37" customFormat="1" x14ac:dyDescent="0.2">
      <c r="A389" s="57"/>
    </row>
    <row r="390" spans="1:1" s="37" customFormat="1" x14ac:dyDescent="0.2">
      <c r="A390" s="57"/>
    </row>
    <row r="391" spans="1:1" s="37" customFormat="1" x14ac:dyDescent="0.2">
      <c r="A391" s="57"/>
    </row>
    <row r="392" spans="1:1" s="37" customFormat="1" x14ac:dyDescent="0.2">
      <c r="A392" s="57"/>
    </row>
    <row r="393" spans="1:1" s="37" customFormat="1" x14ac:dyDescent="0.2">
      <c r="A393" s="57"/>
    </row>
    <row r="394" spans="1:1" s="37" customFormat="1" x14ac:dyDescent="0.2">
      <c r="A394" s="57"/>
    </row>
    <row r="395" spans="1:1" s="37" customFormat="1" x14ac:dyDescent="0.2">
      <c r="A395" s="57"/>
    </row>
    <row r="396" spans="1:1" s="37" customFormat="1" x14ac:dyDescent="0.2">
      <c r="A396" s="57"/>
    </row>
    <row r="397" spans="1:1" s="37" customFormat="1" x14ac:dyDescent="0.2">
      <c r="A397" s="57"/>
    </row>
    <row r="398" spans="1:1" s="37" customFormat="1" x14ac:dyDescent="0.2">
      <c r="A398" s="57"/>
    </row>
    <row r="399" spans="1:1" s="37" customFormat="1" x14ac:dyDescent="0.2">
      <c r="A399" s="57"/>
    </row>
    <row r="400" spans="1:1" s="37" customFormat="1" x14ac:dyDescent="0.2">
      <c r="A400" s="57"/>
    </row>
    <row r="401" spans="1:1" s="37" customFormat="1" x14ac:dyDescent="0.2">
      <c r="A401" s="57"/>
    </row>
    <row r="402" spans="1:1" s="37" customFormat="1" x14ac:dyDescent="0.2">
      <c r="A402" s="57"/>
    </row>
    <row r="403" spans="1:1" s="37" customFormat="1" x14ac:dyDescent="0.2">
      <c r="A403" s="57"/>
    </row>
    <row r="404" spans="1:1" s="37" customFormat="1" x14ac:dyDescent="0.2">
      <c r="A404" s="57"/>
    </row>
    <row r="405" spans="1:1" s="37" customFormat="1" x14ac:dyDescent="0.2">
      <c r="A405" s="57"/>
    </row>
    <row r="406" spans="1:1" s="37" customFormat="1" x14ac:dyDescent="0.2">
      <c r="A406" s="57"/>
    </row>
    <row r="407" spans="1:1" s="37" customFormat="1" x14ac:dyDescent="0.2">
      <c r="A407" s="57"/>
    </row>
    <row r="408" spans="1:1" s="37" customFormat="1" x14ac:dyDescent="0.2">
      <c r="A408" s="57"/>
    </row>
    <row r="409" spans="1:1" s="37" customFormat="1" x14ac:dyDescent="0.2">
      <c r="A409" s="57"/>
    </row>
    <row r="410" spans="1:1" s="37" customFormat="1" x14ac:dyDescent="0.2">
      <c r="A410" s="57"/>
    </row>
    <row r="411" spans="1:1" s="37" customFormat="1" x14ac:dyDescent="0.2">
      <c r="A411" s="57"/>
    </row>
    <row r="412" spans="1:1" s="37" customFormat="1" x14ac:dyDescent="0.2">
      <c r="A412" s="57"/>
    </row>
    <row r="413" spans="1:1" s="37" customFormat="1" x14ac:dyDescent="0.2">
      <c r="A413" s="57"/>
    </row>
    <row r="414" spans="1:1" s="37" customFormat="1" x14ac:dyDescent="0.2">
      <c r="A414" s="57"/>
    </row>
    <row r="415" spans="1:1" s="37" customFormat="1" x14ac:dyDescent="0.2">
      <c r="A415" s="57"/>
    </row>
    <row r="416" spans="1:1" s="37" customFormat="1" x14ac:dyDescent="0.2">
      <c r="A416" s="57"/>
    </row>
    <row r="417" spans="1:1" s="37" customFormat="1" x14ac:dyDescent="0.2">
      <c r="A417" s="57"/>
    </row>
    <row r="418" spans="1:1" s="37" customFormat="1" x14ac:dyDescent="0.2">
      <c r="A418" s="57"/>
    </row>
    <row r="419" spans="1:1" s="37" customFormat="1" x14ac:dyDescent="0.2">
      <c r="A419" s="57"/>
    </row>
    <row r="420" spans="1:1" s="37" customFormat="1" x14ac:dyDescent="0.2">
      <c r="A420" s="57"/>
    </row>
    <row r="421" spans="1:1" s="37" customFormat="1" x14ac:dyDescent="0.2">
      <c r="A421" s="57"/>
    </row>
    <row r="422" spans="1:1" s="37" customFormat="1" x14ac:dyDescent="0.2">
      <c r="A422" s="57"/>
    </row>
    <row r="423" spans="1:1" s="37" customFormat="1" x14ac:dyDescent="0.2">
      <c r="A423" s="57"/>
    </row>
    <row r="424" spans="1:1" s="37" customFormat="1" x14ac:dyDescent="0.2">
      <c r="A424" s="57"/>
    </row>
    <row r="425" spans="1:1" s="37" customFormat="1" x14ac:dyDescent="0.2">
      <c r="A425" s="57"/>
    </row>
    <row r="426" spans="1:1" s="37" customFormat="1" x14ac:dyDescent="0.2">
      <c r="A426" s="57"/>
    </row>
    <row r="427" spans="1:1" s="37" customFormat="1" x14ac:dyDescent="0.2">
      <c r="A427" s="57"/>
    </row>
    <row r="428" spans="1:1" s="37" customFormat="1" x14ac:dyDescent="0.2">
      <c r="A428" s="57"/>
    </row>
    <row r="429" spans="1:1" s="37" customFormat="1" x14ac:dyDescent="0.2">
      <c r="A429" s="57"/>
    </row>
    <row r="430" spans="1:1" s="37" customFormat="1" x14ac:dyDescent="0.2">
      <c r="A430" s="57"/>
    </row>
    <row r="431" spans="1:1" s="37" customFormat="1" x14ac:dyDescent="0.2">
      <c r="A431" s="57"/>
    </row>
    <row r="432" spans="1:1" s="37" customFormat="1" x14ac:dyDescent="0.2">
      <c r="A432" s="57"/>
    </row>
    <row r="433" spans="1:1" s="37" customFormat="1" x14ac:dyDescent="0.2">
      <c r="A433" s="57"/>
    </row>
  </sheetData>
  <mergeCells count="23">
    <mergeCell ref="J20:J21"/>
    <mergeCell ref="B61:F61"/>
    <mergeCell ref="B38:B45"/>
    <mergeCell ref="B46:F46"/>
    <mergeCell ref="B19:J19"/>
    <mergeCell ref="B30:F30"/>
    <mergeCell ref="B31:F31"/>
    <mergeCell ref="B35:H35"/>
    <mergeCell ref="B53:B60"/>
    <mergeCell ref="H36:H37"/>
    <mergeCell ref="C45:G45"/>
    <mergeCell ref="C29:I29"/>
    <mergeCell ref="H51:H52"/>
    <mergeCell ref="C60:G60"/>
    <mergeCell ref="B50:H50"/>
    <mergeCell ref="C3:E3"/>
    <mergeCell ref="C4:E4"/>
    <mergeCell ref="B2:E2"/>
    <mergeCell ref="B22:B29"/>
    <mergeCell ref="B6:G6"/>
    <mergeCell ref="B9:D9"/>
    <mergeCell ref="B13:E13"/>
    <mergeCell ref="B7:G7"/>
  </mergeCells>
  <hyperlinks>
    <hyperlink ref="G30" r:id="rId1" xr:uid="{00000000-0004-0000-1200-000000000000}"/>
    <hyperlink ref="H46" r:id="rId2" xr:uid="{00000000-0004-0000-1200-000001000000}"/>
  </hyperlinks>
  <pageMargins left="0.75" right="0.75" top="1" bottom="1" header="0.5" footer="0.5"/>
  <pageSetup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B350"/>
  <sheetViews>
    <sheetView showGridLines="0" tabSelected="1" zoomScale="90" zoomScaleNormal="90" workbookViewId="0">
      <selection activeCell="F208" sqref="F208"/>
    </sheetView>
  </sheetViews>
  <sheetFormatPr defaultRowHeight="12.75" x14ac:dyDescent="0.2"/>
  <cols>
    <col min="1" max="1" width="1.85546875" style="27" customWidth="1"/>
    <col min="2" max="2" width="51.85546875" customWidth="1"/>
    <col min="3" max="3" width="30.140625" customWidth="1"/>
    <col min="4" max="6" width="24.42578125" customWidth="1"/>
    <col min="7" max="7" width="21.28515625" customWidth="1"/>
    <col min="10" max="10" width="73" customWidth="1"/>
  </cols>
  <sheetData>
    <row r="1" spans="2:9" ht="13.5" thickBot="1" x14ac:dyDescent="0.25"/>
    <row r="2" spans="2:9" s="27" customFormat="1" ht="24" customHeight="1" thickBot="1" x14ac:dyDescent="0.25">
      <c r="B2" s="1972" t="s">
        <v>1452</v>
      </c>
      <c r="C2" s="2001"/>
      <c r="D2" s="2002"/>
    </row>
    <row r="3" spans="2:9" s="27" customFormat="1" ht="13.5" thickBot="1" x14ac:dyDescent="0.25"/>
    <row r="4" spans="2:9" s="27" customFormat="1" ht="57.75" customHeight="1" thickBot="1" x14ac:dyDescent="0.25">
      <c r="B4" s="2006" t="s">
        <v>1531</v>
      </c>
      <c r="C4" s="2007"/>
      <c r="D4" s="2008"/>
    </row>
    <row r="5" spans="2:9" s="27" customFormat="1" x14ac:dyDescent="0.2"/>
    <row r="6" spans="2:9" s="27" customFormat="1" x14ac:dyDescent="0.2">
      <c r="C6" s="1571" t="s">
        <v>1455</v>
      </c>
    </row>
    <row r="7" spans="2:9" s="27" customFormat="1" x14ac:dyDescent="0.2">
      <c r="C7" s="1579" t="s">
        <v>1087</v>
      </c>
    </row>
    <row r="8" spans="2:9" s="27" customFormat="1" x14ac:dyDescent="0.2">
      <c r="C8" s="1579" t="s">
        <v>1103</v>
      </c>
    </row>
    <row r="9" spans="2:9" s="27" customFormat="1" x14ac:dyDescent="0.2">
      <c r="C9" s="1579" t="s">
        <v>1088</v>
      </c>
    </row>
    <row r="10" spans="2:9" s="27" customFormat="1" x14ac:dyDescent="0.2"/>
    <row r="11" spans="2:9" s="27" customFormat="1" ht="13.5" thickBot="1" x14ac:dyDescent="0.25"/>
    <row r="12" spans="2:9" s="27" customFormat="1" ht="13.5" thickBot="1" x14ac:dyDescent="0.25">
      <c r="B12" s="745" t="s">
        <v>1650</v>
      </c>
      <c r="C12" s="1301" t="s">
        <v>739</v>
      </c>
    </row>
    <row r="13" spans="2:9" s="27" customFormat="1" ht="13.5" thickBot="1" x14ac:dyDescent="0.25">
      <c r="B13" s="793"/>
    </row>
    <row r="14" spans="2:9" s="27" customFormat="1" ht="13.5" thickBot="1" x14ac:dyDescent="0.25">
      <c r="B14" s="745" t="s">
        <v>1402</v>
      </c>
      <c r="C14" s="1536">
        <v>2017</v>
      </c>
    </row>
    <row r="15" spans="2:9" s="27" customFormat="1" ht="13.5" thickBot="1" x14ac:dyDescent="0.25">
      <c r="B15" s="793"/>
    </row>
    <row r="16" spans="2:9" s="27" customFormat="1" ht="35.25" customHeight="1" thickBot="1" x14ac:dyDescent="0.25">
      <c r="B16" s="1972" t="s">
        <v>1087</v>
      </c>
      <c r="C16" s="1973"/>
      <c r="D16" s="1973"/>
      <c r="E16" s="1966"/>
      <c r="F16" s="792"/>
      <c r="G16" s="792"/>
      <c r="H16" s="792"/>
      <c r="I16" s="792"/>
    </row>
    <row r="17" spans="2:9" s="28" customFormat="1" ht="15" customHeight="1" thickBot="1" x14ac:dyDescent="0.25">
      <c r="B17" s="1643"/>
      <c r="C17" s="1644"/>
      <c r="D17" s="1644"/>
      <c r="E17" s="64"/>
      <c r="F17" s="64"/>
      <c r="G17" s="64"/>
      <c r="H17" s="64"/>
      <c r="I17" s="64"/>
    </row>
    <row r="18" spans="2:9" s="28" customFormat="1" ht="28.5" customHeight="1" thickBot="1" x14ac:dyDescent="0.25">
      <c r="B18" s="1983" t="s">
        <v>1513</v>
      </c>
      <c r="C18" s="1984"/>
      <c r="D18" s="1984"/>
      <c r="E18" s="1985"/>
      <c r="F18" s="64"/>
      <c r="G18" s="64"/>
      <c r="H18" s="64"/>
      <c r="I18" s="64"/>
    </row>
    <row r="19" spans="2:9" s="27" customFormat="1" ht="10.5" customHeight="1" thickBot="1" x14ac:dyDescent="0.25"/>
    <row r="20" spans="2:9" ht="28.5" customHeight="1" thickBot="1" x14ac:dyDescent="0.25">
      <c r="B20" s="737" t="s">
        <v>1651</v>
      </c>
      <c r="C20" s="748" t="s">
        <v>1606</v>
      </c>
    </row>
    <row r="21" spans="2:9" s="27" customFormat="1" ht="42" customHeight="1" thickBot="1" x14ac:dyDescent="0.25">
      <c r="B21" s="737" t="s">
        <v>1652</v>
      </c>
      <c r="C21" s="748" t="s">
        <v>634</v>
      </c>
    </row>
    <row r="22" spans="2:9" s="27" customFormat="1" ht="18" customHeight="1" thickBot="1" x14ac:dyDescent="0.25"/>
    <row r="23" spans="2:9" ht="105" customHeight="1" thickBot="1" x14ac:dyDescent="0.25">
      <c r="B23" s="1979" t="s">
        <v>1491</v>
      </c>
      <c r="C23" s="2003"/>
    </row>
    <row r="24" spans="2:9" s="27" customFormat="1" x14ac:dyDescent="0.2">
      <c r="B24" s="2004" t="s">
        <v>1504</v>
      </c>
      <c r="C24" s="2005"/>
    </row>
    <row r="25" spans="2:9" s="27" customFormat="1" ht="25.5" x14ac:dyDescent="0.2">
      <c r="B25" s="530" t="s">
        <v>1096</v>
      </c>
      <c r="C25" s="462" t="s">
        <v>1503</v>
      </c>
    </row>
    <row r="26" spans="2:9" s="27" customFormat="1" x14ac:dyDescent="0.2">
      <c r="B26" s="750" t="s">
        <v>1610</v>
      </c>
      <c r="C26" s="1624">
        <v>1</v>
      </c>
    </row>
    <row r="27" spans="2:9" ht="12.75" customHeight="1" thickBot="1" x14ac:dyDescent="0.25">
      <c r="B27" s="771" t="s">
        <v>412</v>
      </c>
      <c r="C27" s="1625">
        <v>0</v>
      </c>
      <c r="D27" s="27"/>
      <c r="E27" s="27"/>
    </row>
    <row r="28" spans="2:9" ht="13.5" thickBot="1" x14ac:dyDescent="0.25"/>
    <row r="29" spans="2:9" s="27" customFormat="1" ht="92.25" customHeight="1" thickBot="1" x14ac:dyDescent="0.25">
      <c r="B29" s="1979" t="s">
        <v>1505</v>
      </c>
      <c r="C29" s="1980"/>
      <c r="D29" s="752" t="s">
        <v>1506</v>
      </c>
    </row>
    <row r="30" spans="2:9" s="27" customFormat="1" ht="18.75" customHeight="1" thickBot="1" x14ac:dyDescent="0.25">
      <c r="B30" s="2009" t="s">
        <v>1507</v>
      </c>
      <c r="C30" s="2010"/>
      <c r="D30" s="2011"/>
    </row>
    <row r="31" spans="2:9" s="27" customFormat="1" ht="38.25" x14ac:dyDescent="0.2">
      <c r="B31" s="743" t="s">
        <v>0</v>
      </c>
      <c r="C31" s="744" t="s">
        <v>1092</v>
      </c>
      <c r="D31" s="747" t="s">
        <v>1093</v>
      </c>
    </row>
    <row r="32" spans="2:9" s="27" customFormat="1" x14ac:dyDescent="0.2">
      <c r="B32" s="750" t="s">
        <v>1089</v>
      </c>
      <c r="C32" s="753"/>
      <c r="D32" s="754"/>
    </row>
    <row r="33" spans="2:8" s="27" customFormat="1" x14ac:dyDescent="0.2">
      <c r="B33" s="750" t="s">
        <v>1090</v>
      </c>
      <c r="C33" s="755"/>
      <c r="D33" s="756"/>
    </row>
    <row r="34" spans="2:8" s="27" customFormat="1" ht="13.5" thickBot="1" x14ac:dyDescent="0.25">
      <c r="B34" s="751" t="s">
        <v>1091</v>
      </c>
      <c r="C34" s="670">
        <f>SUM(C32:C33)</f>
        <v>0</v>
      </c>
      <c r="D34" s="672">
        <f>SUM(D32:D33)</f>
        <v>0</v>
      </c>
    </row>
    <row r="35" spans="2:8" s="27" customFormat="1" ht="13.5" thickBot="1" x14ac:dyDescent="0.25">
      <c r="B35" s="1574"/>
      <c r="C35" s="1575"/>
      <c r="D35" s="1575"/>
    </row>
    <row r="36" spans="2:8" s="27" customFormat="1" ht="145.5" customHeight="1" thickBot="1" x14ac:dyDescent="0.25">
      <c r="B36" s="1960" t="s">
        <v>1619</v>
      </c>
      <c r="C36" s="1961"/>
      <c r="D36" s="1609" t="s">
        <v>1454</v>
      </c>
    </row>
    <row r="37" spans="2:8" s="27" customFormat="1" ht="18" customHeight="1" thickBot="1" x14ac:dyDescent="0.25">
      <c r="B37" s="1998" t="s">
        <v>1508</v>
      </c>
      <c r="C37" s="1999"/>
      <c r="D37" s="1999"/>
      <c r="E37" s="2000"/>
    </row>
    <row r="38" spans="2:8" s="27" customFormat="1" ht="38.25" x14ac:dyDescent="0.2">
      <c r="B38" s="1576"/>
      <c r="C38" s="1577" t="s">
        <v>1098</v>
      </c>
      <c r="D38" s="1610" t="s">
        <v>1093</v>
      </c>
      <c r="E38" s="1578" t="s">
        <v>1475</v>
      </c>
    </row>
    <row r="39" spans="2:8" s="27" customFormat="1" x14ac:dyDescent="0.2">
      <c r="B39" s="750" t="s">
        <v>1453</v>
      </c>
      <c r="C39" s="1583"/>
      <c r="D39" s="1611"/>
      <c r="E39" s="1584"/>
    </row>
    <row r="40" spans="2:8" s="27" customFormat="1" x14ac:dyDescent="0.2">
      <c r="B40" s="750" t="s">
        <v>1456</v>
      </c>
      <c r="C40" s="1591" t="s">
        <v>1457</v>
      </c>
      <c r="D40" s="1612" t="s">
        <v>1457</v>
      </c>
      <c r="E40" s="1614"/>
    </row>
    <row r="41" spans="2:8" s="27" customFormat="1" ht="26.25" thickBot="1" x14ac:dyDescent="0.25">
      <c r="B41" s="1589" t="s">
        <v>1657</v>
      </c>
      <c r="C41" s="1592" t="s">
        <v>1116</v>
      </c>
      <c r="D41" s="1613"/>
      <c r="E41" s="1593"/>
    </row>
    <row r="42" spans="2:8" s="27" customFormat="1" ht="13.5" thickBot="1" x14ac:dyDescent="0.25"/>
    <row r="43" spans="2:8" s="27" customFormat="1" ht="153" customHeight="1" thickBot="1" x14ac:dyDescent="0.25">
      <c r="B43" s="1958" t="s">
        <v>1437</v>
      </c>
      <c r="C43" s="1971"/>
      <c r="D43" s="2015"/>
    </row>
    <row r="44" spans="2:8" s="27" customFormat="1" ht="13.5" thickBot="1" x14ac:dyDescent="0.25">
      <c r="B44" s="2012" t="s">
        <v>1094</v>
      </c>
      <c r="C44" s="1965"/>
      <c r="D44" s="1965"/>
      <c r="E44" s="1966"/>
    </row>
    <row r="45" spans="2:8" s="27" customFormat="1" ht="38.25" x14ac:dyDescent="0.2">
      <c r="B45" s="743" t="s">
        <v>1096</v>
      </c>
      <c r="C45" s="757" t="s">
        <v>1095</v>
      </c>
      <c r="D45" s="746" t="s">
        <v>1098</v>
      </c>
      <c r="E45" s="1108" t="s">
        <v>393</v>
      </c>
      <c r="G45"/>
      <c r="H45"/>
    </row>
    <row r="46" spans="2:8" s="27" customFormat="1" x14ac:dyDescent="0.2">
      <c r="B46" s="326" t="s">
        <v>1690</v>
      </c>
      <c r="C46" s="1494"/>
      <c r="D46" s="1491"/>
      <c r="E46" s="1492"/>
      <c r="G46"/>
      <c r="H46"/>
    </row>
    <row r="47" spans="2:8" s="27" customFormat="1" x14ac:dyDescent="0.2">
      <c r="B47" s="200" t="s">
        <v>1691</v>
      </c>
      <c r="C47" s="1494"/>
      <c r="D47" s="1493"/>
      <c r="E47" s="1487"/>
      <c r="G47"/>
      <c r="H47"/>
    </row>
    <row r="48" spans="2:8" s="27" customFormat="1" x14ac:dyDescent="0.2">
      <c r="B48" s="200" t="s">
        <v>1692</v>
      </c>
      <c r="C48" s="1494"/>
      <c r="D48" s="1493"/>
      <c r="E48" s="1487"/>
      <c r="G48"/>
      <c r="H48"/>
    </row>
    <row r="49" spans="2:8" s="27" customFormat="1" x14ac:dyDescent="0.2">
      <c r="B49" s="758" t="s">
        <v>1693</v>
      </c>
      <c r="C49" s="1494"/>
      <c r="D49" s="1495"/>
      <c r="E49" s="1496"/>
      <c r="G49"/>
      <c r="H49"/>
    </row>
    <row r="50" spans="2:8" s="27" customFormat="1" x14ac:dyDescent="0.2">
      <c r="B50" s="759" t="s">
        <v>562</v>
      </c>
      <c r="C50" s="784"/>
      <c r="D50" s="789">
        <f>SUM(D46:D49)</f>
        <v>0</v>
      </c>
      <c r="E50" s="785"/>
      <c r="G50"/>
      <c r="H50"/>
    </row>
    <row r="51" spans="2:8" s="27" customFormat="1" x14ac:dyDescent="0.2">
      <c r="B51" s="1706" t="s">
        <v>1694</v>
      </c>
      <c r="C51" s="1488"/>
      <c r="D51" s="1485"/>
      <c r="E51" s="1492"/>
      <c r="G51"/>
      <c r="H51"/>
    </row>
    <row r="52" spans="2:8" s="27" customFormat="1" x14ac:dyDescent="0.2">
      <c r="B52" s="200" t="s">
        <v>1695</v>
      </c>
      <c r="C52" s="1488"/>
      <c r="D52" s="1486"/>
      <c r="E52" s="1487"/>
      <c r="G52"/>
      <c r="H52"/>
    </row>
    <row r="53" spans="2:8" s="27" customFormat="1" x14ac:dyDescent="0.2">
      <c r="B53" s="200" t="s">
        <v>1696</v>
      </c>
      <c r="C53" s="1488"/>
      <c r="D53" s="1486"/>
      <c r="E53" s="1487"/>
      <c r="G53"/>
      <c r="H53"/>
    </row>
    <row r="54" spans="2:8" s="27" customFormat="1" x14ac:dyDescent="0.2">
      <c r="B54" s="758" t="s">
        <v>1697</v>
      </c>
      <c r="C54" s="1488"/>
      <c r="D54" s="1489"/>
      <c r="E54" s="1490"/>
      <c r="G54"/>
      <c r="H54"/>
    </row>
    <row r="55" spans="2:8" s="27" customFormat="1" ht="13.5" thickBot="1" x14ac:dyDescent="0.25">
      <c r="B55" s="751" t="s">
        <v>563</v>
      </c>
      <c r="C55" s="760"/>
      <c r="D55" s="790">
        <f>SUM(D51:D54)</f>
        <v>0</v>
      </c>
      <c r="E55" s="787"/>
    </row>
    <row r="56" spans="2:8" s="27" customFormat="1" ht="13.5" thickBot="1" x14ac:dyDescent="0.25">
      <c r="B56" s="786" t="s">
        <v>1106</v>
      </c>
      <c r="C56" s="761"/>
      <c r="D56" s="791">
        <f>SUM(D50,D55)</f>
        <v>0</v>
      </c>
      <c r="E56" s="788"/>
    </row>
    <row r="57" spans="2:8" s="27" customFormat="1" ht="16.5" customHeight="1" thickBot="1" x14ac:dyDescent="0.25"/>
    <row r="58" spans="2:8" s="27" customFormat="1" ht="79.5" customHeight="1" thickBot="1" x14ac:dyDescent="0.25">
      <c r="B58" s="1958" t="s">
        <v>1617</v>
      </c>
      <c r="C58" s="1971"/>
      <c r="D58" s="2015"/>
    </row>
    <row r="59" spans="2:8" s="27" customFormat="1" ht="18" customHeight="1" thickBot="1" x14ac:dyDescent="0.25">
      <c r="B59" s="2012" t="s">
        <v>1097</v>
      </c>
      <c r="C59" s="1965"/>
      <c r="D59" s="1966"/>
    </row>
    <row r="60" spans="2:8" s="27" customFormat="1" ht="38.25" x14ac:dyDescent="0.2">
      <c r="B60" s="100" t="s">
        <v>0</v>
      </c>
      <c r="C60" s="1565" t="s">
        <v>1098</v>
      </c>
      <c r="D60" s="1568" t="s">
        <v>1430</v>
      </c>
    </row>
    <row r="61" spans="2:8" s="27" customFormat="1" x14ac:dyDescent="0.2">
      <c r="B61" s="738" t="s">
        <v>559</v>
      </c>
      <c r="C61" s="1773">
        <v>0</v>
      </c>
      <c r="D61" s="1774">
        <v>0</v>
      </c>
    </row>
    <row r="62" spans="2:8" s="27" customFormat="1" x14ac:dyDescent="0.2">
      <c r="B62" s="770" t="s">
        <v>560</v>
      </c>
      <c r="C62" s="1775">
        <v>0</v>
      </c>
      <c r="D62" s="1776">
        <v>0</v>
      </c>
    </row>
    <row r="63" spans="2:8" s="27" customFormat="1" ht="13.5" thickBot="1" x14ac:dyDescent="0.25">
      <c r="B63" s="771" t="s">
        <v>561</v>
      </c>
      <c r="C63" s="670">
        <f>SUM(C61:C62)</f>
        <v>0</v>
      </c>
      <c r="D63" s="1569">
        <f>SUM(D61:D62)</f>
        <v>0</v>
      </c>
    </row>
    <row r="64" spans="2:8" s="27" customFormat="1" ht="13.5" thickBot="1" x14ac:dyDescent="0.25">
      <c r="B64" s="1642"/>
      <c r="C64" s="1575"/>
      <c r="D64" s="1575"/>
    </row>
    <row r="65" spans="2:8" s="27" customFormat="1" ht="21" thickBot="1" x14ac:dyDescent="0.25">
      <c r="B65" s="1983" t="s">
        <v>1509</v>
      </c>
      <c r="C65" s="1984"/>
      <c r="D65" s="1984"/>
      <c r="E65" s="1985"/>
    </row>
    <row r="66" spans="2:8" s="27" customFormat="1" ht="13.5" thickBot="1" x14ac:dyDescent="0.25"/>
    <row r="67" spans="2:8" s="27" customFormat="1" ht="246" customHeight="1" thickBot="1" x14ac:dyDescent="0.25">
      <c r="B67" s="1979" t="s">
        <v>1559</v>
      </c>
      <c r="C67" s="1980"/>
      <c r="D67" s="696" t="s">
        <v>506</v>
      </c>
    </row>
    <row r="68" spans="2:8" s="27" customFormat="1" ht="19.5" customHeight="1" thickBot="1" x14ac:dyDescent="0.25">
      <c r="B68" s="2012" t="s">
        <v>1102</v>
      </c>
      <c r="C68" s="2013"/>
      <c r="D68" s="2014"/>
      <c r="E68" s="13"/>
    </row>
    <row r="69" spans="2:8" s="27" customFormat="1" ht="25.5" x14ac:dyDescent="0.2">
      <c r="B69" s="648" t="s">
        <v>1099</v>
      </c>
      <c r="C69" s="649" t="s">
        <v>1100</v>
      </c>
      <c r="D69" s="650" t="s">
        <v>1101</v>
      </c>
      <c r="E69" s="13"/>
    </row>
    <row r="70" spans="2:8" s="27" customFormat="1" x14ac:dyDescent="0.2">
      <c r="B70" s="1707"/>
      <c r="C70" s="1708"/>
      <c r="D70" s="1709"/>
      <c r="E70" s="13"/>
    </row>
    <row r="71" spans="2:8" s="27" customFormat="1" x14ac:dyDescent="0.2">
      <c r="B71" s="1707"/>
      <c r="C71" s="1708"/>
      <c r="D71" s="1709"/>
      <c r="E71" s="13"/>
    </row>
    <row r="72" spans="2:8" s="27" customFormat="1" x14ac:dyDescent="0.2">
      <c r="B72" s="1707"/>
      <c r="C72" s="1708"/>
      <c r="D72" s="1709"/>
      <c r="E72" s="13"/>
    </row>
    <row r="73" spans="2:8" s="27" customFormat="1" x14ac:dyDescent="0.2">
      <c r="B73" s="1707"/>
      <c r="C73" s="1708"/>
      <c r="D73" s="1709"/>
      <c r="E73" s="13"/>
      <c r="F73"/>
      <c r="G73"/>
      <c r="H73"/>
    </row>
    <row r="74" spans="2:8" s="27" customFormat="1" x14ac:dyDescent="0.2">
      <c r="B74" s="1707"/>
      <c r="C74" s="1708"/>
      <c r="D74" s="1709"/>
      <c r="E74" s="13"/>
    </row>
    <row r="75" spans="2:8" s="27" customFormat="1" x14ac:dyDescent="0.2">
      <c r="B75" s="1707"/>
      <c r="C75" s="1708"/>
      <c r="D75" s="1709"/>
      <c r="E75" s="13"/>
    </row>
    <row r="76" spans="2:8" s="27" customFormat="1" x14ac:dyDescent="0.2">
      <c r="B76" s="1707"/>
      <c r="C76" s="1708"/>
      <c r="D76" s="1709"/>
      <c r="E76"/>
      <c r="F76"/>
      <c r="G76"/>
    </row>
    <row r="77" spans="2:8" s="27" customFormat="1" x14ac:dyDescent="0.2">
      <c r="B77" s="1707"/>
      <c r="C77" s="1708"/>
      <c r="D77" s="1709"/>
      <c r="E77" s="13"/>
    </row>
    <row r="78" spans="2:8" s="27" customFormat="1" x14ac:dyDescent="0.2">
      <c r="B78" s="1707"/>
      <c r="C78" s="1708"/>
      <c r="D78" s="1709"/>
      <c r="E78" s="13"/>
    </row>
    <row r="79" spans="2:8" s="27" customFormat="1" x14ac:dyDescent="0.2">
      <c r="B79" s="1707"/>
      <c r="C79" s="1708"/>
      <c r="D79" s="1709"/>
      <c r="E79" s="13"/>
    </row>
    <row r="80" spans="2:8" s="27" customFormat="1" x14ac:dyDescent="0.2">
      <c r="B80" s="1707"/>
      <c r="C80" s="1708"/>
      <c r="D80" s="1709"/>
      <c r="E80" s="13"/>
    </row>
    <row r="81" spans="2:5" s="27" customFormat="1" x14ac:dyDescent="0.2">
      <c r="B81" s="1707"/>
      <c r="C81" s="1708"/>
      <c r="D81" s="1709"/>
      <c r="E81" s="13"/>
    </row>
    <row r="82" spans="2:5" s="27" customFormat="1" x14ac:dyDescent="0.2">
      <c r="B82" s="1707"/>
      <c r="C82" s="1708"/>
      <c r="D82" s="1709"/>
      <c r="E82" s="13"/>
    </row>
    <row r="83" spans="2:5" s="27" customFormat="1" x14ac:dyDescent="0.2">
      <c r="B83" s="1707"/>
      <c r="C83" s="1708"/>
      <c r="D83" s="1709"/>
      <c r="E83" s="13"/>
    </row>
    <row r="84" spans="2:5" s="27" customFormat="1" x14ac:dyDescent="0.2">
      <c r="B84" s="1707"/>
      <c r="C84" s="1708"/>
      <c r="D84" s="1709"/>
      <c r="E84" s="13"/>
    </row>
    <row r="85" spans="2:5" s="27" customFormat="1" x14ac:dyDescent="0.2">
      <c r="B85" s="1707"/>
      <c r="C85" s="1708"/>
      <c r="D85" s="1709"/>
      <c r="E85" s="13"/>
    </row>
    <row r="86" spans="2:5" s="27" customFormat="1" x14ac:dyDescent="0.2">
      <c r="B86" s="1707"/>
      <c r="C86" s="1708"/>
      <c r="D86" s="1709"/>
      <c r="E86" s="13"/>
    </row>
    <row r="87" spans="2:5" s="27" customFormat="1" x14ac:dyDescent="0.2">
      <c r="B87" s="1707"/>
      <c r="C87" s="1708"/>
      <c r="D87" s="1709"/>
      <c r="E87" s="13"/>
    </row>
    <row r="88" spans="2:5" s="27" customFormat="1" x14ac:dyDescent="0.2">
      <c r="B88" s="1707"/>
      <c r="C88" s="1708"/>
      <c r="D88" s="1709"/>
      <c r="E88" s="13"/>
    </row>
    <row r="89" spans="2:5" s="27" customFormat="1" x14ac:dyDescent="0.2">
      <c r="B89" s="1707"/>
      <c r="C89" s="1708"/>
      <c r="D89" s="1709"/>
      <c r="E89" s="13"/>
    </row>
    <row r="90" spans="2:5" s="27" customFormat="1" x14ac:dyDescent="0.2">
      <c r="B90" s="1707"/>
      <c r="C90" s="1708"/>
      <c r="D90" s="1709"/>
      <c r="E90" s="13"/>
    </row>
    <row r="91" spans="2:5" s="27" customFormat="1" x14ac:dyDescent="0.2">
      <c r="B91" s="1707"/>
      <c r="C91" s="1708"/>
      <c r="D91" s="1709"/>
      <c r="E91" s="13"/>
    </row>
    <row r="92" spans="2:5" s="27" customFormat="1" x14ac:dyDescent="0.2">
      <c r="B92" s="1707"/>
      <c r="C92" s="1708"/>
      <c r="D92" s="1709"/>
      <c r="E92" s="13"/>
    </row>
    <row r="93" spans="2:5" s="27" customFormat="1" x14ac:dyDescent="0.2">
      <c r="B93" s="1707"/>
      <c r="C93" s="1708"/>
      <c r="D93" s="1709"/>
      <c r="E93" s="13"/>
    </row>
    <row r="94" spans="2:5" s="27" customFormat="1" x14ac:dyDescent="0.2">
      <c r="B94" s="1707"/>
      <c r="C94" s="1708"/>
      <c r="D94" s="1709"/>
      <c r="E94" s="13"/>
    </row>
    <row r="95" spans="2:5" s="27" customFormat="1" x14ac:dyDescent="0.2">
      <c r="B95" s="762"/>
      <c r="C95" s="763"/>
      <c r="D95" s="764"/>
      <c r="E95" s="13"/>
    </row>
    <row r="96" spans="2:5" s="27" customFormat="1" x14ac:dyDescent="0.2">
      <c r="B96" s="762"/>
      <c r="C96" s="763"/>
      <c r="D96" s="764"/>
      <c r="E96" s="13"/>
    </row>
    <row r="97" spans="2:5" s="27" customFormat="1" x14ac:dyDescent="0.2">
      <c r="B97" s="762"/>
      <c r="C97" s="763"/>
      <c r="D97" s="764"/>
      <c r="E97" s="13"/>
    </row>
    <row r="98" spans="2:5" s="27" customFormat="1" x14ac:dyDescent="0.2">
      <c r="B98" s="762"/>
      <c r="C98" s="763"/>
      <c r="D98" s="764"/>
      <c r="E98" s="13"/>
    </row>
    <row r="99" spans="2:5" s="27" customFormat="1" x14ac:dyDescent="0.2">
      <c r="B99" s="762"/>
      <c r="C99" s="763"/>
      <c r="D99" s="764"/>
      <c r="E99" s="13"/>
    </row>
    <row r="100" spans="2:5" s="27" customFormat="1" x14ac:dyDescent="0.2">
      <c r="B100" s="765"/>
      <c r="C100" s="766"/>
      <c r="D100" s="764"/>
      <c r="E100" s="13"/>
    </row>
    <row r="101" spans="2:5" s="27" customFormat="1" x14ac:dyDescent="0.2">
      <c r="B101" s="765"/>
      <c r="C101" s="766"/>
      <c r="D101" s="764"/>
      <c r="E101" s="13"/>
    </row>
    <row r="102" spans="2:5" s="27" customFormat="1" x14ac:dyDescent="0.2">
      <c r="B102" s="765"/>
      <c r="C102" s="766"/>
      <c r="D102" s="764"/>
      <c r="E102" s="13"/>
    </row>
    <row r="103" spans="2:5" s="27" customFormat="1" x14ac:dyDescent="0.2">
      <c r="B103" s="765"/>
      <c r="C103" s="766"/>
      <c r="D103" s="764"/>
      <c r="E103" s="13"/>
    </row>
    <row r="104" spans="2:5" s="27" customFormat="1" x14ac:dyDescent="0.2">
      <c r="B104" s="765"/>
      <c r="C104" s="766"/>
      <c r="D104" s="764"/>
      <c r="E104" s="13"/>
    </row>
    <row r="105" spans="2:5" s="27" customFormat="1" x14ac:dyDescent="0.2">
      <c r="B105" s="765"/>
      <c r="C105" s="766"/>
      <c r="D105" s="764"/>
      <c r="E105" s="13"/>
    </row>
    <row r="106" spans="2:5" s="27" customFormat="1" x14ac:dyDescent="0.2">
      <c r="B106" s="765"/>
      <c r="C106" s="766"/>
      <c r="D106" s="764"/>
      <c r="E106" s="13"/>
    </row>
    <row r="107" spans="2:5" s="27" customFormat="1" x14ac:dyDescent="0.2">
      <c r="B107" s="765"/>
      <c r="C107" s="766"/>
      <c r="D107" s="764"/>
      <c r="E107" s="13"/>
    </row>
    <row r="108" spans="2:5" s="27" customFormat="1" x14ac:dyDescent="0.2">
      <c r="B108" s="765"/>
      <c r="C108" s="766"/>
      <c r="D108" s="764"/>
      <c r="E108" s="13"/>
    </row>
    <row r="109" spans="2:5" s="27" customFormat="1" x14ac:dyDescent="0.2">
      <c r="B109" s="765"/>
      <c r="C109" s="766"/>
      <c r="D109" s="764"/>
      <c r="E109" s="13"/>
    </row>
    <row r="110" spans="2:5" s="27" customFormat="1" x14ac:dyDescent="0.2">
      <c r="B110" s="765"/>
      <c r="C110" s="766"/>
      <c r="D110" s="764"/>
      <c r="E110" s="13"/>
    </row>
    <row r="111" spans="2:5" s="27" customFormat="1" x14ac:dyDescent="0.2">
      <c r="B111" s="765"/>
      <c r="C111" s="766"/>
      <c r="D111" s="764"/>
      <c r="E111" s="13"/>
    </row>
    <row r="112" spans="2:5" s="27" customFormat="1" x14ac:dyDescent="0.2">
      <c r="B112" s="765"/>
      <c r="C112" s="766"/>
      <c r="D112" s="764"/>
      <c r="E112" s="13"/>
    </row>
    <row r="113" spans="2:5" s="27" customFormat="1" x14ac:dyDescent="0.2">
      <c r="B113" s="765"/>
      <c r="C113" s="766"/>
      <c r="D113" s="764"/>
      <c r="E113" s="13"/>
    </row>
    <row r="114" spans="2:5" s="27" customFormat="1" x14ac:dyDescent="0.2">
      <c r="B114" s="765"/>
      <c r="C114" s="766"/>
      <c r="D114" s="764"/>
      <c r="E114" s="13"/>
    </row>
    <row r="115" spans="2:5" s="27" customFormat="1" x14ac:dyDescent="0.2">
      <c r="B115" s="765"/>
      <c r="C115" s="766"/>
      <c r="D115" s="764"/>
      <c r="E115" s="13"/>
    </row>
    <row r="116" spans="2:5" s="27" customFormat="1" x14ac:dyDescent="0.2">
      <c r="B116" s="765"/>
      <c r="C116" s="766"/>
      <c r="D116" s="764"/>
      <c r="E116" s="13"/>
    </row>
    <row r="117" spans="2:5" s="27" customFormat="1" x14ac:dyDescent="0.2">
      <c r="B117" s="765"/>
      <c r="C117" s="766"/>
      <c r="D117" s="764"/>
      <c r="E117" s="13"/>
    </row>
    <row r="118" spans="2:5" s="27" customFormat="1" x14ac:dyDescent="0.2">
      <c r="B118" s="765"/>
      <c r="C118" s="766"/>
      <c r="D118" s="764"/>
      <c r="E118" s="13"/>
    </row>
    <row r="119" spans="2:5" s="27" customFormat="1" x14ac:dyDescent="0.2">
      <c r="B119" s="765"/>
      <c r="C119" s="766"/>
      <c r="D119" s="764"/>
      <c r="E119" s="13"/>
    </row>
    <row r="120" spans="2:5" s="27" customFormat="1" x14ac:dyDescent="0.2">
      <c r="B120" s="765"/>
      <c r="C120" s="766"/>
      <c r="D120" s="764"/>
      <c r="E120" s="13"/>
    </row>
    <row r="121" spans="2:5" s="27" customFormat="1" x14ac:dyDescent="0.2">
      <c r="B121" s="765"/>
      <c r="C121" s="766"/>
      <c r="D121" s="764"/>
      <c r="E121" s="13"/>
    </row>
    <row r="122" spans="2:5" s="27" customFormat="1" x14ac:dyDescent="0.2">
      <c r="B122" s="765"/>
      <c r="C122" s="766"/>
      <c r="D122" s="764"/>
      <c r="E122" s="13"/>
    </row>
    <row r="123" spans="2:5" s="27" customFormat="1" x14ac:dyDescent="0.2">
      <c r="B123" s="765"/>
      <c r="C123" s="766"/>
      <c r="D123" s="764"/>
      <c r="E123" s="13"/>
    </row>
    <row r="124" spans="2:5" s="27" customFormat="1" x14ac:dyDescent="0.2">
      <c r="B124" s="765"/>
      <c r="C124" s="766"/>
      <c r="D124" s="764"/>
      <c r="E124" s="13"/>
    </row>
    <row r="125" spans="2:5" s="27" customFormat="1" x14ac:dyDescent="0.2">
      <c r="B125" s="765"/>
      <c r="C125" s="766"/>
      <c r="D125" s="764"/>
      <c r="E125" s="13"/>
    </row>
    <row r="126" spans="2:5" s="27" customFormat="1" x14ac:dyDescent="0.2">
      <c r="B126" s="765"/>
      <c r="C126" s="766"/>
      <c r="D126" s="764"/>
      <c r="E126" s="13"/>
    </row>
    <row r="127" spans="2:5" s="27" customFormat="1" x14ac:dyDescent="0.2">
      <c r="B127" s="765"/>
      <c r="C127" s="766"/>
      <c r="D127" s="764"/>
      <c r="E127" s="13"/>
    </row>
    <row r="128" spans="2:5" s="27" customFormat="1" x14ac:dyDescent="0.2">
      <c r="B128" s="765"/>
      <c r="C128" s="766"/>
      <c r="D128" s="764"/>
      <c r="E128" s="13"/>
    </row>
    <row r="129" spans="2:5" s="27" customFormat="1" x14ac:dyDescent="0.2">
      <c r="B129" s="765"/>
      <c r="C129" s="766"/>
      <c r="D129" s="764"/>
      <c r="E129" s="13"/>
    </row>
    <row r="130" spans="2:5" s="27" customFormat="1" x14ac:dyDescent="0.2">
      <c r="B130" s="765"/>
      <c r="C130" s="766"/>
      <c r="D130" s="764"/>
      <c r="E130" s="13"/>
    </row>
    <row r="131" spans="2:5" s="27" customFormat="1" x14ac:dyDescent="0.2">
      <c r="B131" s="765"/>
      <c r="C131" s="766"/>
      <c r="D131" s="764"/>
      <c r="E131" s="13"/>
    </row>
    <row r="132" spans="2:5" s="27" customFormat="1" x14ac:dyDescent="0.2">
      <c r="B132" s="765"/>
      <c r="C132" s="766"/>
      <c r="D132" s="764"/>
      <c r="E132" s="13"/>
    </row>
    <row r="133" spans="2:5" s="27" customFormat="1" x14ac:dyDescent="0.2">
      <c r="B133" s="765"/>
      <c r="C133" s="766"/>
      <c r="D133" s="764"/>
      <c r="E133" s="13"/>
    </row>
    <row r="134" spans="2:5" s="27" customFormat="1" x14ac:dyDescent="0.2">
      <c r="B134" s="765"/>
      <c r="C134" s="766"/>
      <c r="D134" s="764"/>
      <c r="E134" s="13"/>
    </row>
    <row r="135" spans="2:5" s="27" customFormat="1" x14ac:dyDescent="0.2">
      <c r="B135" s="765"/>
      <c r="C135" s="766"/>
      <c r="D135" s="764"/>
      <c r="E135" s="13"/>
    </row>
    <row r="136" spans="2:5" s="27" customFormat="1" x14ac:dyDescent="0.2">
      <c r="B136" s="765"/>
      <c r="C136" s="766"/>
      <c r="D136" s="764"/>
      <c r="E136" s="13"/>
    </row>
    <row r="137" spans="2:5" s="27" customFormat="1" x14ac:dyDescent="0.2">
      <c r="B137" s="765"/>
      <c r="C137" s="766"/>
      <c r="D137" s="764"/>
      <c r="E137" s="13"/>
    </row>
    <row r="138" spans="2:5" s="27" customFormat="1" x14ac:dyDescent="0.2">
      <c r="B138" s="765"/>
      <c r="C138" s="766"/>
      <c r="D138" s="764"/>
      <c r="E138" s="13"/>
    </row>
    <row r="139" spans="2:5" s="27" customFormat="1" x14ac:dyDescent="0.2">
      <c r="B139" s="765"/>
      <c r="C139" s="766"/>
      <c r="D139" s="764"/>
      <c r="E139" s="13"/>
    </row>
    <row r="140" spans="2:5" s="27" customFormat="1" x14ac:dyDescent="0.2">
      <c r="B140" s="765"/>
      <c r="C140" s="766"/>
      <c r="D140" s="764"/>
      <c r="E140" s="13"/>
    </row>
    <row r="141" spans="2:5" s="27" customFormat="1" x14ac:dyDescent="0.2">
      <c r="B141" s="765"/>
      <c r="C141" s="766"/>
      <c r="D141" s="764"/>
      <c r="E141" s="13"/>
    </row>
    <row r="142" spans="2:5" s="27" customFormat="1" x14ac:dyDescent="0.2">
      <c r="B142" s="765"/>
      <c r="C142" s="766"/>
      <c r="D142" s="764"/>
      <c r="E142" s="13"/>
    </row>
    <row r="143" spans="2:5" s="27" customFormat="1" x14ac:dyDescent="0.2">
      <c r="B143" s="765"/>
      <c r="C143" s="766"/>
      <c r="D143" s="764"/>
      <c r="E143" s="13"/>
    </row>
    <row r="144" spans="2:5" s="27" customFormat="1" x14ac:dyDescent="0.2">
      <c r="B144" s="765"/>
      <c r="C144" s="766"/>
      <c r="D144" s="764"/>
      <c r="E144" s="13"/>
    </row>
    <row r="145" spans="2:5" s="27" customFormat="1" x14ac:dyDescent="0.2">
      <c r="B145" s="765"/>
      <c r="C145" s="766"/>
      <c r="D145" s="764"/>
      <c r="E145" s="13"/>
    </row>
    <row r="146" spans="2:5" s="27" customFormat="1" x14ac:dyDescent="0.2">
      <c r="B146" s="765"/>
      <c r="C146" s="766"/>
      <c r="D146" s="764"/>
      <c r="E146" s="13"/>
    </row>
    <row r="147" spans="2:5" s="27" customFormat="1" x14ac:dyDescent="0.2">
      <c r="B147" s="765"/>
      <c r="C147" s="766"/>
      <c r="D147" s="764"/>
      <c r="E147" s="13"/>
    </row>
    <row r="148" spans="2:5" s="27" customFormat="1" x14ac:dyDescent="0.2">
      <c r="B148" s="765"/>
      <c r="C148" s="766"/>
      <c r="D148" s="764"/>
      <c r="E148" s="13"/>
    </row>
    <row r="149" spans="2:5" s="27" customFormat="1" x14ac:dyDescent="0.2">
      <c r="B149" s="765"/>
      <c r="C149" s="766"/>
      <c r="D149" s="764"/>
      <c r="E149" s="13"/>
    </row>
    <row r="150" spans="2:5" s="27" customFormat="1" x14ac:dyDescent="0.2">
      <c r="B150" s="765"/>
      <c r="C150" s="766"/>
      <c r="D150" s="764"/>
      <c r="E150" s="13"/>
    </row>
    <row r="151" spans="2:5" s="27" customFormat="1" x14ac:dyDescent="0.2">
      <c r="B151" s="765"/>
      <c r="C151" s="766"/>
      <c r="D151" s="764"/>
      <c r="E151" s="13"/>
    </row>
    <row r="152" spans="2:5" s="27" customFormat="1" x14ac:dyDescent="0.2">
      <c r="B152" s="765"/>
      <c r="C152" s="766"/>
      <c r="D152" s="764"/>
      <c r="E152" s="13"/>
    </row>
    <row r="153" spans="2:5" s="27" customFormat="1" x14ac:dyDescent="0.2">
      <c r="B153" s="765"/>
      <c r="C153" s="766"/>
      <c r="D153" s="764"/>
      <c r="E153" s="13"/>
    </row>
    <row r="154" spans="2:5" s="27" customFormat="1" x14ac:dyDescent="0.2">
      <c r="B154" s="765"/>
      <c r="C154" s="766"/>
      <c r="D154" s="764"/>
      <c r="E154" s="13"/>
    </row>
    <row r="155" spans="2:5" s="27" customFormat="1" x14ac:dyDescent="0.2">
      <c r="B155" s="765"/>
      <c r="C155" s="766"/>
      <c r="D155" s="764"/>
      <c r="E155" s="13"/>
    </row>
    <row r="156" spans="2:5" s="27" customFormat="1" x14ac:dyDescent="0.2">
      <c r="B156" s="765"/>
      <c r="C156" s="766"/>
      <c r="D156" s="764"/>
      <c r="E156" s="13"/>
    </row>
    <row r="157" spans="2:5" s="27" customFormat="1" x14ac:dyDescent="0.2">
      <c r="B157" s="765"/>
      <c r="C157" s="766"/>
      <c r="D157" s="764"/>
      <c r="E157" s="13"/>
    </row>
    <row r="158" spans="2:5" s="27" customFormat="1" x14ac:dyDescent="0.2">
      <c r="B158" s="765"/>
      <c r="C158" s="766"/>
      <c r="D158" s="764"/>
      <c r="E158" s="13"/>
    </row>
    <row r="159" spans="2:5" s="27" customFormat="1" x14ac:dyDescent="0.2">
      <c r="B159" s="765"/>
      <c r="C159" s="766"/>
      <c r="D159" s="764"/>
      <c r="E159" s="13"/>
    </row>
    <row r="160" spans="2:5" s="27" customFormat="1" x14ac:dyDescent="0.2">
      <c r="B160" s="765"/>
      <c r="C160" s="766"/>
      <c r="D160" s="764"/>
      <c r="E160" s="13"/>
    </row>
    <row r="161" spans="2:5" s="27" customFormat="1" x14ac:dyDescent="0.2">
      <c r="B161" s="765"/>
      <c r="C161" s="766"/>
      <c r="D161" s="764"/>
      <c r="E161" s="13"/>
    </row>
    <row r="162" spans="2:5" s="27" customFormat="1" x14ac:dyDescent="0.2">
      <c r="B162" s="765"/>
      <c r="C162" s="766"/>
      <c r="D162" s="764"/>
      <c r="E162" s="13"/>
    </row>
    <row r="163" spans="2:5" s="27" customFormat="1" x14ac:dyDescent="0.2">
      <c r="B163" s="765"/>
      <c r="C163" s="766"/>
      <c r="D163" s="764"/>
      <c r="E163" s="13"/>
    </row>
    <row r="164" spans="2:5" s="27" customFormat="1" x14ac:dyDescent="0.2">
      <c r="B164" s="765"/>
      <c r="C164" s="766"/>
      <c r="D164" s="764"/>
      <c r="E164" s="13"/>
    </row>
    <row r="165" spans="2:5" s="27" customFormat="1" x14ac:dyDescent="0.2">
      <c r="B165" s="765"/>
      <c r="C165" s="766"/>
      <c r="D165" s="764"/>
      <c r="E165" s="13"/>
    </row>
    <row r="166" spans="2:5" s="27" customFormat="1" x14ac:dyDescent="0.2">
      <c r="B166" s="765"/>
      <c r="C166" s="766"/>
      <c r="D166" s="764"/>
      <c r="E166" s="13"/>
    </row>
    <row r="167" spans="2:5" s="27" customFormat="1" x14ac:dyDescent="0.2">
      <c r="B167" s="765"/>
      <c r="C167" s="766"/>
      <c r="D167" s="764"/>
      <c r="E167" s="13"/>
    </row>
    <row r="168" spans="2:5" s="27" customFormat="1" x14ac:dyDescent="0.2">
      <c r="B168" s="765"/>
      <c r="C168" s="766"/>
      <c r="D168" s="764"/>
      <c r="E168" s="13"/>
    </row>
    <row r="169" spans="2:5" s="27" customFormat="1" x14ac:dyDescent="0.2">
      <c r="B169" s="765"/>
      <c r="C169" s="766"/>
      <c r="D169" s="764"/>
      <c r="E169" s="13"/>
    </row>
    <row r="170" spans="2:5" s="27" customFormat="1" x14ac:dyDescent="0.2">
      <c r="B170" s="765"/>
      <c r="C170" s="766"/>
      <c r="D170" s="764"/>
      <c r="E170" s="13"/>
    </row>
    <row r="171" spans="2:5" s="27" customFormat="1" x14ac:dyDescent="0.2">
      <c r="B171" s="765"/>
      <c r="C171" s="766"/>
      <c r="D171" s="764"/>
      <c r="E171" s="13"/>
    </row>
    <row r="172" spans="2:5" s="27" customFormat="1" x14ac:dyDescent="0.2">
      <c r="B172" s="765"/>
      <c r="C172" s="766"/>
      <c r="D172" s="764"/>
      <c r="E172" s="13"/>
    </row>
    <row r="173" spans="2:5" s="27" customFormat="1" ht="13.5" thickBot="1" x14ac:dyDescent="0.25">
      <c r="B173" s="767"/>
      <c r="C173" s="768"/>
      <c r="D173" s="769"/>
      <c r="E173" s="13"/>
    </row>
    <row r="174" spans="2:5" s="27" customFormat="1" ht="13.5" thickBot="1" x14ac:dyDescent="0.25">
      <c r="B174" s="1651"/>
      <c r="C174" s="1651"/>
      <c r="D174" s="1651"/>
      <c r="E174" s="13"/>
    </row>
    <row r="175" spans="2:5" s="27" customFormat="1" ht="114.75" customHeight="1" thickBot="1" x14ac:dyDescent="0.25">
      <c r="B175" s="1979" t="s">
        <v>1666</v>
      </c>
      <c r="C175" s="1980"/>
      <c r="D175" s="685" t="s">
        <v>1433</v>
      </c>
      <c r="E175" s="13"/>
    </row>
    <row r="176" spans="2:5" s="27" customFormat="1" ht="109.5" customHeight="1" thickBot="1" x14ac:dyDescent="0.25">
      <c r="B176" s="1989" t="s">
        <v>1432</v>
      </c>
      <c r="C176" s="1990"/>
      <c r="D176" s="641" t="s">
        <v>1434</v>
      </c>
      <c r="E176" s="13"/>
    </row>
    <row r="177" spans="2:5" s="27" customFormat="1" ht="13.5" thickBot="1" x14ac:dyDescent="0.25">
      <c r="B177" s="1274"/>
      <c r="C177" s="1571"/>
      <c r="E177" s="13"/>
    </row>
    <row r="178" spans="2:5" s="27" customFormat="1" ht="30.75" customHeight="1" thickBot="1" x14ac:dyDescent="0.25">
      <c r="B178" s="1987" t="s">
        <v>1251</v>
      </c>
      <c r="C178" s="1988"/>
      <c r="D178" s="1274"/>
      <c r="E178" s="13"/>
    </row>
    <row r="179" spans="2:5" s="27" customFormat="1" ht="25.5" x14ac:dyDescent="0.2">
      <c r="B179" s="892" t="s">
        <v>1133</v>
      </c>
      <c r="C179" s="668" t="s">
        <v>1132</v>
      </c>
      <c r="E179" s="13"/>
    </row>
    <row r="180" spans="2:5" s="27" customFormat="1" x14ac:dyDescent="0.2">
      <c r="B180" s="893" t="s">
        <v>1658</v>
      </c>
      <c r="C180" s="898"/>
      <c r="E180" s="13"/>
    </row>
    <row r="181" spans="2:5" s="27" customFormat="1" x14ac:dyDescent="0.2">
      <c r="B181" s="893" t="s">
        <v>1659</v>
      </c>
      <c r="C181" s="898"/>
      <c r="E181" s="13"/>
    </row>
    <row r="182" spans="2:5" s="27" customFormat="1" x14ac:dyDescent="0.2">
      <c r="B182" s="893" t="s">
        <v>1660</v>
      </c>
      <c r="C182" s="898"/>
      <c r="E182" s="13"/>
    </row>
    <row r="183" spans="2:5" s="27" customFormat="1" x14ac:dyDescent="0.2">
      <c r="B183" s="893" t="s">
        <v>1661</v>
      </c>
      <c r="C183" s="898"/>
      <c r="E183" s="13"/>
    </row>
    <row r="184" spans="2:5" s="27" customFormat="1" x14ac:dyDescent="0.2">
      <c r="B184" s="893" t="s">
        <v>1662</v>
      </c>
      <c r="C184" s="898"/>
      <c r="E184" s="13"/>
    </row>
    <row r="185" spans="2:5" s="27" customFormat="1" x14ac:dyDescent="0.2">
      <c r="B185" s="893" t="s">
        <v>1663</v>
      </c>
      <c r="C185" s="898"/>
      <c r="E185" s="13"/>
    </row>
    <row r="186" spans="2:5" s="27" customFormat="1" x14ac:dyDescent="0.2">
      <c r="B186" s="893" t="s">
        <v>1664</v>
      </c>
      <c r="C186" s="898"/>
      <c r="E186" s="13"/>
    </row>
    <row r="187" spans="2:5" s="27" customFormat="1" ht="13.5" thickBot="1" x14ac:dyDescent="0.25">
      <c r="B187" s="894" t="s">
        <v>1665</v>
      </c>
      <c r="C187" s="899"/>
      <c r="E187" s="13"/>
    </row>
    <row r="188" spans="2:5" s="27" customFormat="1" ht="25.5" x14ac:dyDescent="0.2">
      <c r="B188" s="896" t="s">
        <v>1134</v>
      </c>
      <c r="C188" s="668" t="s">
        <v>1136</v>
      </c>
      <c r="E188" s="13"/>
    </row>
    <row r="189" spans="2:5" s="27" customFormat="1" ht="13.5" thickBot="1" x14ac:dyDescent="0.25">
      <c r="B189" s="894" t="s">
        <v>1135</v>
      </c>
      <c r="C189" s="897"/>
      <c r="E189" s="13"/>
    </row>
    <row r="190" spans="2:5" s="27" customFormat="1" ht="13.5" thickBot="1" x14ac:dyDescent="0.25">
      <c r="B190" s="1651"/>
      <c r="C190" s="1651"/>
      <c r="D190" s="1651"/>
      <c r="E190" s="13"/>
    </row>
    <row r="191" spans="2:5" s="28" customFormat="1" ht="21" thickBot="1" x14ac:dyDescent="0.25">
      <c r="B191" s="1983" t="s">
        <v>1512</v>
      </c>
      <c r="C191" s="1984"/>
      <c r="D191" s="1984"/>
      <c r="E191" s="1985"/>
    </row>
    <row r="192" spans="2:5" s="27" customFormat="1" ht="13.5" thickBot="1" x14ac:dyDescent="0.25"/>
    <row r="193" spans="2:6" s="27" customFormat="1" ht="150" customHeight="1" thickBot="1" x14ac:dyDescent="0.25">
      <c r="B193" s="1981" t="s">
        <v>1704</v>
      </c>
      <c r="C193" s="1982"/>
      <c r="D193" s="686" t="s">
        <v>1705</v>
      </c>
    </row>
    <row r="194" spans="2:6" s="27" customFormat="1" ht="166.5" customHeight="1" thickBot="1" x14ac:dyDescent="0.25">
      <c r="B194" s="1981" t="s">
        <v>1706</v>
      </c>
      <c r="C194" s="1982"/>
      <c r="D194" s="641" t="s">
        <v>1705</v>
      </c>
    </row>
    <row r="195" spans="2:6" s="27" customFormat="1" ht="106.5" customHeight="1" thickBot="1" x14ac:dyDescent="0.25">
      <c r="B195" s="1958" t="s">
        <v>1591</v>
      </c>
      <c r="C195" s="1986"/>
      <c r="D195" s="686" t="s">
        <v>1547</v>
      </c>
    </row>
    <row r="196" spans="2:6" s="27" customFormat="1" ht="21.75" customHeight="1" thickBot="1" x14ac:dyDescent="0.25">
      <c r="B196" s="1968" t="s">
        <v>1252</v>
      </c>
      <c r="C196" s="1974"/>
      <c r="D196" s="1975"/>
    </row>
    <row r="197" spans="2:6" s="27" customFormat="1" x14ac:dyDescent="0.2">
      <c r="B197" s="1639" t="s">
        <v>599</v>
      </c>
      <c r="C197" s="1640" t="s">
        <v>1499</v>
      </c>
      <c r="D197" s="1641" t="s">
        <v>1500</v>
      </c>
      <c r="E197" s="697"/>
      <c r="F197" s="118"/>
    </row>
    <row r="198" spans="2:6" s="27" customFormat="1" x14ac:dyDescent="0.2">
      <c r="B198" s="684" t="s">
        <v>600</v>
      </c>
      <c r="C198" s="1631"/>
      <c r="D198" s="1632"/>
      <c r="E198" s="28"/>
      <c r="F198" s="8"/>
    </row>
    <row r="199" spans="2:6" s="27" customFormat="1" x14ac:dyDescent="0.2">
      <c r="B199" s="684" t="s">
        <v>601</v>
      </c>
      <c r="C199" s="1631"/>
      <c r="D199" s="1636"/>
      <c r="E199" s="28"/>
      <c r="F199" s="28"/>
    </row>
    <row r="200" spans="2:6" s="27" customFormat="1" x14ac:dyDescent="0.2">
      <c r="B200" s="684" t="s">
        <v>1510</v>
      </c>
      <c r="C200" s="1633"/>
      <c r="D200" s="1906"/>
    </row>
    <row r="201" spans="2:6" s="27" customFormat="1" ht="26.25" thickBot="1" x14ac:dyDescent="0.25">
      <c r="B201" s="1932" t="s">
        <v>1511</v>
      </c>
      <c r="C201" s="1721"/>
      <c r="D201" s="1722"/>
    </row>
    <row r="202" spans="2:6" s="27" customFormat="1" ht="13.5" thickBot="1" x14ac:dyDescent="0.25"/>
    <row r="203" spans="2:6" s="27" customFormat="1" ht="104.25" customHeight="1" thickBot="1" x14ac:dyDescent="0.25">
      <c r="B203" s="1996" t="s">
        <v>1592</v>
      </c>
      <c r="C203" s="1997"/>
      <c r="D203" s="686" t="s">
        <v>1551</v>
      </c>
    </row>
    <row r="204" spans="2:6" s="27" customFormat="1" ht="15" thickBot="1" x14ac:dyDescent="0.25">
      <c r="B204" s="1968" t="s">
        <v>1498</v>
      </c>
      <c r="C204" s="1969"/>
      <c r="D204" s="1966"/>
    </row>
    <row r="205" spans="2:6" s="27" customFormat="1" ht="13.5" thickBot="1" x14ac:dyDescent="0.25">
      <c r="B205" s="1653" t="s">
        <v>1518</v>
      </c>
      <c r="C205" s="1991" t="s">
        <v>797</v>
      </c>
      <c r="D205" s="1992"/>
    </row>
    <row r="206" spans="2:6" s="27" customFormat="1" x14ac:dyDescent="0.2">
      <c r="B206" s="1654" t="s">
        <v>1593</v>
      </c>
      <c r="C206" s="1645" t="s">
        <v>1526</v>
      </c>
      <c r="D206" s="1650" t="s">
        <v>1527</v>
      </c>
    </row>
    <row r="207" spans="2:6" s="27" customFormat="1" x14ac:dyDescent="0.2">
      <c r="B207" s="306" t="s">
        <v>16</v>
      </c>
      <c r="C207" s="1634"/>
      <c r="D207" s="1632"/>
    </row>
    <row r="208" spans="2:6" s="27" customFormat="1" x14ac:dyDescent="0.2">
      <c r="B208" s="306" t="s">
        <v>1594</v>
      </c>
      <c r="C208" s="1634"/>
      <c r="D208" s="1632"/>
    </row>
    <row r="209" spans="2:8" s="27" customFormat="1" x14ac:dyDescent="0.2">
      <c r="B209" s="307" t="s">
        <v>1595</v>
      </c>
      <c r="C209" s="1635"/>
      <c r="D209" s="1636"/>
    </row>
    <row r="210" spans="2:8" s="27" customFormat="1" ht="13.5" thickBot="1" x14ac:dyDescent="0.25">
      <c r="B210" s="1626" t="s">
        <v>589</v>
      </c>
      <c r="C210" s="1637"/>
      <c r="D210" s="1638"/>
    </row>
    <row r="211" spans="2:8" s="27" customFormat="1" ht="13.5" thickBot="1" x14ac:dyDescent="0.25"/>
    <row r="212" spans="2:8" s="27" customFormat="1" ht="24.75" customHeight="1" thickBot="1" x14ac:dyDescent="0.25">
      <c r="B212" s="1972" t="s">
        <v>1103</v>
      </c>
      <c r="C212" s="1973"/>
      <c r="D212" s="1973"/>
      <c r="E212" s="1966"/>
    </row>
    <row r="213" spans="2:8" s="27" customFormat="1" ht="13.5" thickBot="1" x14ac:dyDescent="0.25">
      <c r="B213"/>
      <c r="C213"/>
      <c r="D213"/>
      <c r="E213"/>
      <c r="F213"/>
      <c r="G213" s="694"/>
      <c r="H213" s="695"/>
    </row>
    <row r="214" spans="2:8" s="27" customFormat="1" ht="110.25" customHeight="1" thickBot="1" x14ac:dyDescent="0.25">
      <c r="B214" s="1962" t="s">
        <v>1435</v>
      </c>
      <c r="C214" s="1963"/>
      <c r="D214" s="685" t="s">
        <v>1548</v>
      </c>
      <c r="E214" s="28"/>
      <c r="F214" s="694"/>
      <c r="G214" s="694"/>
      <c r="H214" s="695"/>
    </row>
    <row r="215" spans="2:8" s="27" customFormat="1" ht="14.25" thickBot="1" x14ac:dyDescent="0.3">
      <c r="B215" s="1964" t="s">
        <v>1589</v>
      </c>
      <c r="C215" s="1965"/>
      <c r="D215" s="1965"/>
      <c r="E215" s="1965"/>
      <c r="F215" s="1966"/>
    </row>
    <row r="216" spans="2:8" s="27" customFormat="1" ht="51" x14ac:dyDescent="0.2">
      <c r="B216" s="338" t="s">
        <v>961</v>
      </c>
      <c r="C216" s="121" t="s">
        <v>962</v>
      </c>
      <c r="D216" s="121" t="s">
        <v>1588</v>
      </c>
      <c r="E216" s="121" t="s">
        <v>1586</v>
      </c>
      <c r="F216" s="123" t="s">
        <v>1587</v>
      </c>
    </row>
    <row r="217" spans="2:8" s="27" customFormat="1" x14ac:dyDescent="0.2">
      <c r="B217" s="53" t="s">
        <v>46</v>
      </c>
      <c r="C217" s="778">
        <f>SUM(C218:C222)</f>
        <v>0</v>
      </c>
      <c r="D217" s="778">
        <f>SUM(D218:D222)</f>
        <v>0</v>
      </c>
      <c r="E217" s="70"/>
      <c r="F217" s="337"/>
      <c r="G217"/>
      <c r="H217"/>
    </row>
    <row r="218" spans="2:8" s="27" customFormat="1" x14ac:dyDescent="0.2">
      <c r="B218" s="188" t="s">
        <v>47</v>
      </c>
      <c r="C218" s="772"/>
      <c r="D218" s="772"/>
      <c r="E218" s="773"/>
      <c r="F218" s="779"/>
      <c r="G218"/>
      <c r="H218"/>
    </row>
    <row r="219" spans="2:8" s="27" customFormat="1" x14ac:dyDescent="0.2">
      <c r="B219" s="189" t="s">
        <v>48</v>
      </c>
      <c r="C219" s="774"/>
      <c r="D219" s="774"/>
      <c r="E219" s="775"/>
      <c r="F219" s="780"/>
      <c r="G219"/>
      <c r="H219"/>
    </row>
    <row r="220" spans="2:8" s="27" customFormat="1" x14ac:dyDescent="0.2">
      <c r="B220" s="189" t="s">
        <v>49</v>
      </c>
      <c r="C220" s="774"/>
      <c r="D220" s="774"/>
      <c r="E220" s="775"/>
      <c r="F220" s="780"/>
      <c r="G220"/>
      <c r="H220"/>
    </row>
    <row r="221" spans="2:8" s="27" customFormat="1" x14ac:dyDescent="0.2">
      <c r="B221" s="189" t="s">
        <v>67</v>
      </c>
      <c r="C221" s="774"/>
      <c r="D221" s="774"/>
      <c r="E221" s="775"/>
      <c r="F221" s="780"/>
      <c r="G221"/>
      <c r="H221"/>
    </row>
    <row r="222" spans="2:8" s="27" customFormat="1" ht="13.5" thickBot="1" x14ac:dyDescent="0.25">
      <c r="B222" s="190" t="s">
        <v>50</v>
      </c>
      <c r="C222" s="776"/>
      <c r="D222" s="776"/>
      <c r="E222" s="777"/>
      <c r="F222" s="781"/>
      <c r="G222" s="1571"/>
      <c r="H222"/>
    </row>
    <row r="223" spans="2:8" s="27" customFormat="1" ht="13.5" thickBot="1" x14ac:dyDescent="0.25">
      <c r="B223"/>
      <c r="C223"/>
      <c r="D223"/>
      <c r="E223"/>
      <c r="F223"/>
      <c r="G223"/>
      <c r="H223"/>
    </row>
    <row r="224" spans="2:8" s="27" customFormat="1" ht="14.25" thickBot="1" x14ac:dyDescent="0.3">
      <c r="B224" s="1964" t="s">
        <v>1590</v>
      </c>
      <c r="C224" s="1965"/>
      <c r="D224" s="1965"/>
      <c r="E224" s="1965"/>
      <c r="F224" s="1966"/>
    </row>
    <row r="225" spans="2:8" s="27" customFormat="1" ht="51" x14ac:dyDescent="0.2">
      <c r="B225" s="338" t="s">
        <v>961</v>
      </c>
      <c r="C225" s="121" t="s">
        <v>962</v>
      </c>
      <c r="D225" s="121" t="s">
        <v>1588</v>
      </c>
      <c r="E225" s="121" t="s">
        <v>1586</v>
      </c>
      <c r="F225" s="123" t="s">
        <v>1587</v>
      </c>
      <c r="G225"/>
      <c r="H225"/>
    </row>
    <row r="226" spans="2:8" s="27" customFormat="1" x14ac:dyDescent="0.2">
      <c r="B226" s="53" t="s">
        <v>51</v>
      </c>
      <c r="C226" s="778">
        <f>SUM(C227:C231)</f>
        <v>0</v>
      </c>
      <c r="D226" s="778">
        <f>SUM(D227:D231)</f>
        <v>0</v>
      </c>
      <c r="E226" s="70"/>
      <c r="F226" s="337"/>
      <c r="G226"/>
      <c r="H226"/>
    </row>
    <row r="227" spans="2:8" s="27" customFormat="1" x14ac:dyDescent="0.2">
      <c r="B227" s="189" t="s">
        <v>47</v>
      </c>
      <c r="C227" s="774"/>
      <c r="D227" s="774"/>
      <c r="E227" s="775"/>
      <c r="F227" s="780"/>
      <c r="G227"/>
      <c r="H227"/>
    </row>
    <row r="228" spans="2:8" s="27" customFormat="1" x14ac:dyDescent="0.2">
      <c r="B228" s="189" t="s">
        <v>48</v>
      </c>
      <c r="C228" s="774"/>
      <c r="D228" s="774"/>
      <c r="E228" s="775"/>
      <c r="F228" s="780"/>
      <c r="G228"/>
      <c r="H228"/>
    </row>
    <row r="229" spans="2:8" s="27" customFormat="1" x14ac:dyDescent="0.2">
      <c r="B229" s="189" t="s">
        <v>49</v>
      </c>
      <c r="C229" s="774"/>
      <c r="D229" s="774"/>
      <c r="E229" s="775"/>
      <c r="F229" s="780"/>
      <c r="G229"/>
      <c r="H229"/>
    </row>
    <row r="230" spans="2:8" s="27" customFormat="1" x14ac:dyDescent="0.2">
      <c r="B230" s="189" t="s">
        <v>67</v>
      </c>
      <c r="C230" s="774"/>
      <c r="D230" s="774"/>
      <c r="E230" s="775"/>
      <c r="F230" s="780"/>
      <c r="G230"/>
      <c r="H230"/>
    </row>
    <row r="231" spans="2:8" s="27" customFormat="1" ht="13.5" thickBot="1" x14ac:dyDescent="0.25">
      <c r="B231" s="190" t="s">
        <v>50</v>
      </c>
      <c r="C231" s="776"/>
      <c r="D231" s="776"/>
      <c r="E231" s="777"/>
      <c r="F231" s="781"/>
      <c r="G231" s="1571"/>
      <c r="H231"/>
    </row>
    <row r="232" spans="2:8" s="27" customFormat="1" ht="13.5" thickBot="1" x14ac:dyDescent="0.25">
      <c r="B232"/>
      <c r="C232"/>
      <c r="D232"/>
      <c r="E232"/>
      <c r="F232"/>
      <c r="G232"/>
      <c r="H232"/>
    </row>
    <row r="233" spans="2:8" s="27" customFormat="1" ht="118.5" customHeight="1" thickBot="1" x14ac:dyDescent="0.25">
      <c r="B233" s="1960" t="s">
        <v>1618</v>
      </c>
      <c r="C233" s="1961"/>
      <c r="D233" s="1609" t="s">
        <v>1454</v>
      </c>
    </row>
    <row r="234" spans="2:8" s="27" customFormat="1" ht="14.25" customHeight="1" thickBot="1" x14ac:dyDescent="0.3">
      <c r="B234" s="1993" t="s">
        <v>1514</v>
      </c>
      <c r="C234" s="1994"/>
      <c r="D234" s="1995"/>
      <c r="E234" s="1615"/>
      <c r="F234" s="1615"/>
    </row>
    <row r="235" spans="2:8" s="27" customFormat="1" ht="25.5" x14ac:dyDescent="0.2">
      <c r="B235" s="1580" t="s">
        <v>961</v>
      </c>
      <c r="C235" s="1581" t="s">
        <v>1461</v>
      </c>
      <c r="D235" s="1582" t="s">
        <v>1476</v>
      </c>
      <c r="E235" s="1616"/>
      <c r="F235" s="1616"/>
    </row>
    <row r="236" spans="2:8" s="27" customFormat="1" x14ac:dyDescent="0.2">
      <c r="B236" s="189" t="s">
        <v>47</v>
      </c>
      <c r="C236" s="1585" t="s">
        <v>1528</v>
      </c>
      <c r="D236" s="1619"/>
      <c r="E236" s="1617"/>
      <c r="F236" s="1618"/>
    </row>
    <row r="237" spans="2:8" s="27" customFormat="1" ht="13.5" thickBot="1" x14ac:dyDescent="0.25">
      <c r="B237" s="190" t="s">
        <v>48</v>
      </c>
      <c r="C237" s="1586" t="s">
        <v>1528</v>
      </c>
      <c r="D237" s="1620"/>
      <c r="E237" s="1617"/>
      <c r="F237" s="1618"/>
    </row>
    <row r="238" spans="2:8" s="27" customFormat="1" ht="13.5" thickBot="1" x14ac:dyDescent="0.25"/>
    <row r="239" spans="2:8" s="27" customFormat="1" ht="112.5" customHeight="1" thickBot="1" x14ac:dyDescent="0.25">
      <c r="B239" s="1960" t="s">
        <v>1582</v>
      </c>
      <c r="C239" s="1961"/>
      <c r="D239" s="1665" t="s">
        <v>1549</v>
      </c>
      <c r="E239" s="28"/>
    </row>
    <row r="240" spans="2:8" s="27" customFormat="1" ht="20.25" customHeight="1" thickBot="1" x14ac:dyDescent="0.25">
      <c r="B240" s="1968" t="s">
        <v>1244</v>
      </c>
      <c r="C240" s="1974"/>
      <c r="D240" s="1974"/>
      <c r="E240" s="1974"/>
      <c r="F240" s="1974"/>
      <c r="G240" s="1975"/>
    </row>
    <row r="241" spans="2:7" s="27" customFormat="1" ht="41.25" x14ac:dyDescent="0.2">
      <c r="B241" s="1174" t="s">
        <v>1243</v>
      </c>
      <c r="C241" s="1692" t="s">
        <v>1228</v>
      </c>
      <c r="D241" s="1691" t="s">
        <v>1585</v>
      </c>
      <c r="E241" s="1719" t="s">
        <v>1583</v>
      </c>
      <c r="F241" s="1692" t="s">
        <v>1584</v>
      </c>
      <c r="G241" s="1720" t="s">
        <v>194</v>
      </c>
    </row>
    <row r="242" spans="2:7" s="27" customFormat="1" x14ac:dyDescent="0.2">
      <c r="B242" s="1177" t="s">
        <v>1241</v>
      </c>
      <c r="C242" s="1717"/>
      <c r="D242" s="1900">
        <v>176435.485681791</v>
      </c>
      <c r="E242" s="1332"/>
      <c r="F242" s="1900">
        <f>4828.99726503472</f>
        <v>4828.9972650347199</v>
      </c>
      <c r="G242" s="1901">
        <v>1019693.24894229</v>
      </c>
    </row>
    <row r="243" spans="2:7" s="27" customFormat="1" x14ac:dyDescent="0.2">
      <c r="B243" s="1178" t="s">
        <v>53</v>
      </c>
      <c r="C243" s="1715"/>
      <c r="D243" s="1332"/>
      <c r="E243" s="1332"/>
      <c r="F243" s="1585">
        <f>8050.78009298659</f>
        <v>8050.7800929865898</v>
      </c>
      <c r="G243" s="1902">
        <v>592315</v>
      </c>
    </row>
    <row r="244" spans="2:7" s="27" customFormat="1" ht="13.5" thickBot="1" x14ac:dyDescent="0.25">
      <c r="B244" s="1179" t="s">
        <v>1242</v>
      </c>
      <c r="C244" s="1716"/>
      <c r="D244" s="1586">
        <v>5690208.5143182101</v>
      </c>
      <c r="E244" s="1586">
        <v>290151</v>
      </c>
      <c r="F244" s="1714"/>
      <c r="G244" s="1903">
        <v>21427919.751057699</v>
      </c>
    </row>
    <row r="245" spans="2:7" s="27" customFormat="1" ht="13.5" thickBot="1" x14ac:dyDescent="0.25"/>
    <row r="246" spans="2:7" s="27" customFormat="1" ht="98.25" customHeight="1" thickBot="1" x14ac:dyDescent="0.25">
      <c r="B246" s="1960" t="s">
        <v>1436</v>
      </c>
      <c r="C246" s="1961"/>
      <c r="D246" s="1665" t="s">
        <v>1550</v>
      </c>
    </row>
    <row r="247" spans="2:7" s="27" customFormat="1" ht="15" customHeight="1" thickBot="1" x14ac:dyDescent="0.25">
      <c r="B247" s="1968" t="s">
        <v>1245</v>
      </c>
      <c r="C247" s="1974"/>
      <c r="D247" s="1974"/>
      <c r="E247" s="1974"/>
      <c r="F247" s="1975"/>
    </row>
    <row r="248" spans="2:7" s="27" customFormat="1" ht="41.25" x14ac:dyDescent="0.2">
      <c r="B248" s="1647" t="s">
        <v>1243</v>
      </c>
      <c r="C248" s="1648" t="s">
        <v>1228</v>
      </c>
      <c r="D248" s="1648" t="s">
        <v>1585</v>
      </c>
      <c r="E248" s="1649" t="s">
        <v>1584</v>
      </c>
      <c r="F248" s="1720" t="s">
        <v>194</v>
      </c>
    </row>
    <row r="249" spans="2:7" s="27" customFormat="1" x14ac:dyDescent="0.2">
      <c r="B249" s="1178" t="s">
        <v>1220</v>
      </c>
      <c r="C249" s="1939"/>
      <c r="D249" s="1332"/>
      <c r="E249" s="1933">
        <f>57708.0261457433</f>
        <v>57708.026145743301</v>
      </c>
      <c r="F249" s="1904">
        <v>4245716.4537748201</v>
      </c>
    </row>
    <row r="250" spans="2:7" s="27" customFormat="1" x14ac:dyDescent="0.2">
      <c r="B250" s="1178" t="s">
        <v>1221</v>
      </c>
      <c r="C250" s="774"/>
      <c r="D250" s="1332"/>
      <c r="E250" s="1935">
        <f>90039.5183341824</f>
        <v>90039.518334182401</v>
      </c>
      <c r="F250" s="1619">
        <v>6624421.0730052097</v>
      </c>
    </row>
    <row r="251" spans="2:7" s="27" customFormat="1" x14ac:dyDescent="0.2">
      <c r="B251" s="1178" t="s">
        <v>272</v>
      </c>
      <c r="C251" s="1715"/>
      <c r="D251" s="1332"/>
      <c r="E251" s="1936">
        <f>175585.520188672</f>
        <v>175585.520188672</v>
      </c>
      <c r="F251" s="1619">
        <v>12918243.47322</v>
      </c>
    </row>
    <row r="252" spans="2:7" s="27" customFormat="1" x14ac:dyDescent="0.2">
      <c r="B252" s="1178" t="s">
        <v>1222</v>
      </c>
      <c r="C252" s="1715"/>
      <c r="D252" s="1332"/>
      <c r="E252" s="1936">
        <f>75349.8550289811</f>
        <v>75349.855028981096</v>
      </c>
      <c r="F252" s="1937">
        <v>5543667.6776665403</v>
      </c>
    </row>
    <row r="253" spans="2:7" s="27" customFormat="1" x14ac:dyDescent="0.2">
      <c r="B253" s="1664" t="s">
        <v>1529</v>
      </c>
      <c r="C253" s="1715"/>
      <c r="D253" s="1332"/>
      <c r="E253" s="1934">
        <v>6688</v>
      </c>
      <c r="F253" s="1938">
        <v>492074</v>
      </c>
    </row>
    <row r="254" spans="2:7" s="27" customFormat="1" ht="13.5" thickBot="1" x14ac:dyDescent="0.25">
      <c r="B254" s="1179" t="s">
        <v>1223</v>
      </c>
      <c r="C254" s="1716"/>
      <c r="D254" s="1667">
        <v>24503024</v>
      </c>
      <c r="E254" s="1718"/>
      <c r="F254" s="1620">
        <v>24503024</v>
      </c>
    </row>
    <row r="255" spans="2:7" s="27" customFormat="1" x14ac:dyDescent="0.2">
      <c r="B255" s="1666" t="s">
        <v>1530</v>
      </c>
    </row>
    <row r="256" spans="2:7" s="27" customFormat="1" ht="13.5" thickBot="1" x14ac:dyDescent="0.25"/>
    <row r="257" spans="2:6" s="27" customFormat="1" ht="132.75" customHeight="1" thickBot="1" x14ac:dyDescent="0.25">
      <c r="B257" s="1976" t="s">
        <v>1515</v>
      </c>
      <c r="C257" s="1977"/>
      <c r="D257" s="1978"/>
    </row>
    <row r="258" spans="2:6" s="27" customFormat="1" ht="18.75" customHeight="1" thickBot="1" x14ac:dyDescent="0.25">
      <c r="B258" s="1968" t="s">
        <v>1246</v>
      </c>
      <c r="C258" s="1974"/>
      <c r="D258" s="1974"/>
      <c r="E258" s="1974"/>
      <c r="F258" s="1975"/>
    </row>
    <row r="259" spans="2:6" s="27" customFormat="1" ht="38.25" x14ac:dyDescent="0.2">
      <c r="B259" s="96" t="s">
        <v>1243</v>
      </c>
      <c r="C259" s="1690" t="s">
        <v>1540</v>
      </c>
      <c r="D259" s="1698" t="s">
        <v>974</v>
      </c>
      <c r="E259" s="1699" t="s">
        <v>975</v>
      </c>
      <c r="F259" s="1700" t="s">
        <v>976</v>
      </c>
    </row>
    <row r="260" spans="2:6" s="27" customFormat="1" x14ac:dyDescent="0.2">
      <c r="B260" s="1177" t="s">
        <v>1230</v>
      </c>
      <c r="C260" s="1673">
        <v>0</v>
      </c>
      <c r="D260" s="1673">
        <v>0</v>
      </c>
      <c r="E260" s="1497">
        <v>0</v>
      </c>
      <c r="F260" s="1498">
        <v>0</v>
      </c>
    </row>
    <row r="261" spans="2:6" s="27" customFormat="1" x14ac:dyDescent="0.2">
      <c r="B261" s="1178" t="s">
        <v>1231</v>
      </c>
      <c r="C261" s="1674">
        <v>0</v>
      </c>
      <c r="D261" s="1674">
        <v>0</v>
      </c>
      <c r="E261" s="1499">
        <v>0</v>
      </c>
      <c r="F261" s="1500">
        <v>0</v>
      </c>
    </row>
    <row r="262" spans="2:6" s="27" customFormat="1" ht="13.5" thickBot="1" x14ac:dyDescent="0.25">
      <c r="B262" s="1179" t="s">
        <v>1232</v>
      </c>
      <c r="C262" s="1675">
        <v>0</v>
      </c>
      <c r="D262" s="1675">
        <v>0</v>
      </c>
      <c r="E262" s="1501">
        <v>0</v>
      </c>
      <c r="F262" s="1502">
        <v>0</v>
      </c>
    </row>
    <row r="263" spans="2:6" s="27" customFormat="1" ht="13.5" thickBot="1" x14ac:dyDescent="0.25">
      <c r="B263" s="1784"/>
      <c r="C263" s="1785"/>
      <c r="D263" s="1785"/>
      <c r="E263" s="1785"/>
      <c r="F263" s="1785"/>
    </row>
    <row r="264" spans="2:6" s="27" customFormat="1" ht="69" customHeight="1" thickBot="1" x14ac:dyDescent="0.25">
      <c r="B264" s="1976" t="s">
        <v>1621</v>
      </c>
      <c r="C264" s="1977"/>
      <c r="D264" s="1978"/>
      <c r="E264" s="1785"/>
      <c r="F264" s="1785"/>
    </row>
    <row r="265" spans="2:6" s="27" customFormat="1" ht="15.75" thickBot="1" x14ac:dyDescent="0.25">
      <c r="B265" s="1968" t="s">
        <v>1246</v>
      </c>
      <c r="C265" s="1974"/>
      <c r="D265" s="1974"/>
      <c r="E265" s="1974"/>
      <c r="F265" s="1975"/>
    </row>
    <row r="266" spans="2:6" s="27" customFormat="1" ht="38.25" x14ac:dyDescent="0.2">
      <c r="B266" s="1566" t="s">
        <v>1243</v>
      </c>
      <c r="C266" s="1759" t="s">
        <v>1540</v>
      </c>
      <c r="D266" s="1786" t="s">
        <v>974</v>
      </c>
      <c r="E266" s="1787" t="s">
        <v>975</v>
      </c>
      <c r="F266" s="1788" t="s">
        <v>976</v>
      </c>
    </row>
    <row r="267" spans="2:6" s="27" customFormat="1" ht="13.5" thickBot="1" x14ac:dyDescent="0.25">
      <c r="B267" s="1764" t="s">
        <v>1622</v>
      </c>
      <c r="C267" s="1789">
        <v>0</v>
      </c>
      <c r="D267" s="1789">
        <v>0</v>
      </c>
      <c r="E267" s="1790">
        <v>0</v>
      </c>
      <c r="F267" s="1791">
        <v>0</v>
      </c>
    </row>
    <row r="268" spans="2:6" s="27" customFormat="1" ht="13.5" thickBot="1" x14ac:dyDescent="0.25"/>
    <row r="269" spans="2:6" s="27" customFormat="1" ht="29.25" customHeight="1" thickBot="1" x14ac:dyDescent="0.25">
      <c r="B269" s="1972" t="s">
        <v>1088</v>
      </c>
      <c r="C269" s="1973"/>
      <c r="D269" s="1973"/>
      <c r="E269" s="1966"/>
    </row>
    <row r="270" spans="2:6" s="27" customFormat="1" ht="19.5" customHeight="1" thickBot="1" x14ac:dyDescent="0.25"/>
    <row r="271" spans="2:6" s="27" customFormat="1" ht="40.5" customHeight="1" thickBot="1" x14ac:dyDescent="0.25">
      <c r="B271" s="737" t="s">
        <v>1653</v>
      </c>
      <c r="C271" s="748" t="s">
        <v>397</v>
      </c>
    </row>
    <row r="272" spans="2:6" s="27" customFormat="1" ht="13.5" thickBot="1" x14ac:dyDescent="0.25"/>
    <row r="273" spans="2:3" s="27" customFormat="1" ht="44.25" customHeight="1" thickBot="1" x14ac:dyDescent="0.25">
      <c r="B273" s="1958" t="s">
        <v>1107</v>
      </c>
      <c r="C273" s="1967"/>
    </row>
    <row r="274" spans="2:3" s="27" customFormat="1" ht="21.75" customHeight="1" thickBot="1" x14ac:dyDescent="0.25">
      <c r="B274" s="1968" t="s">
        <v>1250</v>
      </c>
      <c r="C274" s="1959"/>
    </row>
    <row r="275" spans="2:3" s="27" customFormat="1" x14ac:dyDescent="0.2">
      <c r="B275" s="637" t="s">
        <v>1086</v>
      </c>
      <c r="C275" s="639" t="s">
        <v>989</v>
      </c>
    </row>
    <row r="276" spans="2:3" s="27" customFormat="1" x14ac:dyDescent="0.2">
      <c r="B276" s="738" t="s">
        <v>988</v>
      </c>
      <c r="C276" s="1503">
        <v>0.4</v>
      </c>
    </row>
    <row r="277" spans="2:3" s="27" customFormat="1" ht="13.5" thickBot="1" x14ac:dyDescent="0.25">
      <c r="B277" s="739" t="s">
        <v>233</v>
      </c>
      <c r="C277" s="1504">
        <v>0.6</v>
      </c>
    </row>
    <row r="278" spans="2:3" s="27" customFormat="1" ht="13.5" thickBot="1" x14ac:dyDescent="0.25"/>
    <row r="279" spans="2:3" s="27" customFormat="1" ht="56.25" customHeight="1" thickBot="1" x14ac:dyDescent="0.25">
      <c r="B279" s="737" t="s">
        <v>1654</v>
      </c>
      <c r="C279" s="749" t="s">
        <v>1079</v>
      </c>
    </row>
    <row r="280" spans="2:3" s="27" customFormat="1" ht="13.5" thickBot="1" x14ac:dyDescent="0.25"/>
    <row r="281" spans="2:3" s="27" customFormat="1" ht="44.25" customHeight="1" thickBot="1" x14ac:dyDescent="0.25">
      <c r="B281" s="1958" t="s">
        <v>1108</v>
      </c>
      <c r="C281" s="1967"/>
    </row>
    <row r="282" spans="2:3" s="27" customFormat="1" ht="18.75" customHeight="1" thickBot="1" x14ac:dyDescent="0.25">
      <c r="B282" s="1968" t="s">
        <v>1394</v>
      </c>
      <c r="C282" s="1959"/>
    </row>
    <row r="283" spans="2:3" s="27" customFormat="1" x14ac:dyDescent="0.2">
      <c r="B283" s="637" t="s">
        <v>1085</v>
      </c>
      <c r="C283" s="639" t="s">
        <v>989</v>
      </c>
    </row>
    <row r="284" spans="2:3" s="27" customFormat="1" x14ac:dyDescent="0.2">
      <c r="B284" s="738" t="s">
        <v>1080</v>
      </c>
      <c r="C284" s="1506">
        <v>0.5</v>
      </c>
    </row>
    <row r="285" spans="2:3" s="27" customFormat="1" ht="13.5" thickBot="1" x14ac:dyDescent="0.25">
      <c r="B285" s="739" t="s">
        <v>1081</v>
      </c>
      <c r="C285" s="1505">
        <v>0.5</v>
      </c>
    </row>
    <row r="286" spans="2:3" s="27" customFormat="1" ht="13.5" thickBot="1" x14ac:dyDescent="0.25"/>
    <row r="287" spans="2:3" s="27" customFormat="1" ht="54.75" customHeight="1" thickBot="1" x14ac:dyDescent="0.25">
      <c r="B287" s="737" t="s">
        <v>1655</v>
      </c>
      <c r="C287" s="748" t="s">
        <v>397</v>
      </c>
    </row>
    <row r="288" spans="2:3" s="27" customFormat="1" ht="13.5" thickBot="1" x14ac:dyDescent="0.25"/>
    <row r="289" spans="2:4" s="27" customFormat="1" ht="145.5" customHeight="1" thickBot="1" x14ac:dyDescent="0.25">
      <c r="B289" s="1958" t="s">
        <v>1109</v>
      </c>
      <c r="C289" s="1967"/>
    </row>
    <row r="290" spans="2:4" s="27" customFormat="1" ht="20.25" customHeight="1" thickBot="1" x14ac:dyDescent="0.25">
      <c r="B290" s="1968" t="s">
        <v>1249</v>
      </c>
      <c r="C290" s="1959"/>
    </row>
    <row r="291" spans="2:4" s="27" customFormat="1" ht="25.5" x14ac:dyDescent="0.2">
      <c r="B291" s="139" t="s">
        <v>1055</v>
      </c>
      <c r="C291" s="141" t="s">
        <v>1082</v>
      </c>
    </row>
    <row r="292" spans="2:4" s="27" customFormat="1" x14ac:dyDescent="0.2">
      <c r="B292" s="493" t="s">
        <v>267</v>
      </c>
      <c r="C292" s="1507">
        <v>0.28000000000000003</v>
      </c>
    </row>
    <row r="293" spans="2:4" s="27" customFormat="1" x14ac:dyDescent="0.2">
      <c r="B293" s="493" t="s">
        <v>22</v>
      </c>
      <c r="C293" s="1507">
        <v>0.04</v>
      </c>
    </row>
    <row r="294" spans="2:4" s="27" customFormat="1" x14ac:dyDescent="0.2">
      <c r="B294" s="493" t="s">
        <v>23</v>
      </c>
      <c r="C294" s="1507">
        <v>0.2</v>
      </c>
    </row>
    <row r="295" spans="2:4" s="27" customFormat="1" x14ac:dyDescent="0.2">
      <c r="B295" s="493" t="s">
        <v>24</v>
      </c>
      <c r="C295" s="1507">
        <v>0.05</v>
      </c>
    </row>
    <row r="296" spans="2:4" s="27" customFormat="1" x14ac:dyDescent="0.2">
      <c r="B296" s="493" t="s">
        <v>25</v>
      </c>
      <c r="C296" s="1507">
        <v>0.06</v>
      </c>
    </row>
    <row r="297" spans="2:4" s="27" customFormat="1" ht="13.5" thickBot="1" x14ac:dyDescent="0.25">
      <c r="B297" s="701" t="s">
        <v>26</v>
      </c>
      <c r="C297" s="1508">
        <v>0.02</v>
      </c>
    </row>
    <row r="298" spans="2:4" s="27" customFormat="1" ht="13.5" thickBot="1" x14ac:dyDescent="0.25"/>
    <row r="299" spans="2:4" s="27" customFormat="1" ht="199.5" customHeight="1" thickBot="1" x14ac:dyDescent="0.25">
      <c r="B299" s="1958" t="s">
        <v>1105</v>
      </c>
      <c r="C299" s="1971"/>
      <c r="D299" s="1966"/>
    </row>
    <row r="300" spans="2:4" s="27" customFormat="1" ht="17.25" customHeight="1" thickBot="1" x14ac:dyDescent="0.25">
      <c r="B300" s="1968" t="s">
        <v>1248</v>
      </c>
      <c r="C300" s="1969"/>
      <c r="D300" s="1970"/>
    </row>
    <row r="301" spans="2:4" s="27" customFormat="1" ht="69" customHeight="1" x14ac:dyDescent="0.2">
      <c r="B301" s="1566" t="s">
        <v>142</v>
      </c>
      <c r="C301" s="638" t="s">
        <v>1516</v>
      </c>
      <c r="D301" s="639" t="s">
        <v>1517</v>
      </c>
    </row>
    <row r="302" spans="2:4" s="27" customFormat="1" x14ac:dyDescent="0.2">
      <c r="B302" s="705" t="s">
        <v>1069</v>
      </c>
      <c r="C302" s="1710"/>
      <c r="D302" s="783"/>
    </row>
    <row r="303" spans="2:4" s="27" customFormat="1" x14ac:dyDescent="0.2">
      <c r="B303" s="705" t="s">
        <v>1070</v>
      </c>
      <c r="C303" s="782"/>
      <c r="D303" s="783"/>
    </row>
    <row r="304" spans="2:4" s="27" customFormat="1" ht="13.5" thickBot="1" x14ac:dyDescent="0.25">
      <c r="B304" s="706" t="s">
        <v>986</v>
      </c>
      <c r="C304" s="707">
        <f>SUM(C302:C303)</f>
        <v>0</v>
      </c>
      <c r="D304" s="708">
        <f>SUM(D302:D303)</f>
        <v>0</v>
      </c>
    </row>
    <row r="305" spans="2:28" s="27" customFormat="1" ht="13.5" thickBot="1" x14ac:dyDescent="0.25"/>
    <row r="306" spans="2:28" s="27" customFormat="1" ht="31.5" customHeight="1" thickBot="1" x14ac:dyDescent="0.25">
      <c r="B306" s="737" t="s">
        <v>1656</v>
      </c>
      <c r="C306" s="748" t="s">
        <v>1417</v>
      </c>
    </row>
    <row r="307" spans="2:28" ht="13.5" thickBot="1" x14ac:dyDescent="0.25"/>
    <row r="308" spans="2:28" s="27" customFormat="1" ht="44.25" customHeight="1" thickBot="1" x14ac:dyDescent="0.25">
      <c r="B308" s="737" t="s">
        <v>1406</v>
      </c>
      <c r="C308" s="1539">
        <v>1</v>
      </c>
    </row>
    <row r="309" spans="2:28" s="27" customFormat="1" ht="15.75" customHeight="1" thickBot="1" x14ac:dyDescent="0.25"/>
    <row r="310" spans="2:28" s="27" customFormat="1" ht="65.25" customHeight="1" thickBot="1" x14ac:dyDescent="0.25">
      <c r="B310" s="1958" t="s">
        <v>1708</v>
      </c>
      <c r="C310" s="1959"/>
      <c r="D310" s="1540" t="s">
        <v>1707</v>
      </c>
    </row>
    <row r="311" spans="2:28" ht="21" customHeight="1" thickBot="1" x14ac:dyDescent="0.25">
      <c r="B311" s="737" t="s">
        <v>1160</v>
      </c>
      <c r="C311" s="1107"/>
    </row>
    <row r="312" spans="2:28" s="27" customFormat="1" ht="15.75" customHeight="1" x14ac:dyDescent="0.2"/>
    <row r="313" spans="2:28" x14ac:dyDescent="0.2">
      <c r="I313" s="27"/>
      <c r="J313" s="27"/>
      <c r="K313" s="27"/>
      <c r="L313" s="27"/>
      <c r="M313" s="27"/>
      <c r="N313" s="27"/>
      <c r="O313" s="27"/>
      <c r="P313" s="27"/>
      <c r="Q313" s="27"/>
      <c r="R313" s="27"/>
      <c r="S313" s="27"/>
      <c r="T313" s="27"/>
      <c r="U313" s="27"/>
      <c r="V313" s="27"/>
      <c r="W313" s="27"/>
      <c r="X313" s="27"/>
      <c r="Y313" s="27"/>
      <c r="Z313" s="27"/>
      <c r="AA313" s="27"/>
      <c r="AB313" s="27"/>
    </row>
    <row r="314" spans="2:28" x14ac:dyDescent="0.2">
      <c r="R314" s="27"/>
      <c r="S314" s="27"/>
      <c r="T314" s="27"/>
      <c r="U314" s="27"/>
      <c r="V314" s="27"/>
      <c r="W314" s="27"/>
      <c r="X314" s="27"/>
      <c r="Y314" s="27"/>
      <c r="Z314" s="27"/>
      <c r="AA314" s="27"/>
      <c r="AB314" s="27"/>
    </row>
    <row r="321" s="27" customFormat="1" x14ac:dyDescent="0.2"/>
    <row r="330" s="27" customFormat="1" ht="80.25" customHeight="1" x14ac:dyDescent="0.2"/>
    <row r="334" s="27" customFormat="1" x14ac:dyDescent="0.2"/>
    <row r="335" s="27" customFormat="1" ht="69.75" customHeight="1" x14ac:dyDescent="0.2"/>
    <row r="350" spans="3:3" x14ac:dyDescent="0.2">
      <c r="C350" s="740"/>
    </row>
  </sheetData>
  <mergeCells count="52">
    <mergeCell ref="B68:D68"/>
    <mergeCell ref="B44:E44"/>
    <mergeCell ref="B43:D43"/>
    <mergeCell ref="B58:D58"/>
    <mergeCell ref="B67:C67"/>
    <mergeCell ref="B59:D59"/>
    <mergeCell ref="B65:E65"/>
    <mergeCell ref="B18:E18"/>
    <mergeCell ref="B37:E37"/>
    <mergeCell ref="B2:D2"/>
    <mergeCell ref="B16:E16"/>
    <mergeCell ref="B29:C29"/>
    <mergeCell ref="B23:C23"/>
    <mergeCell ref="B24:C24"/>
    <mergeCell ref="B4:D4"/>
    <mergeCell ref="B30:D30"/>
    <mergeCell ref="B36:C36"/>
    <mergeCell ref="B196:D196"/>
    <mergeCell ref="B204:D204"/>
    <mergeCell ref="C205:D205"/>
    <mergeCell ref="B212:E212"/>
    <mergeCell ref="B234:D234"/>
    <mergeCell ref="B203:C203"/>
    <mergeCell ref="B233:C233"/>
    <mergeCell ref="B175:C175"/>
    <mergeCell ref="B194:C194"/>
    <mergeCell ref="B193:C193"/>
    <mergeCell ref="B191:E191"/>
    <mergeCell ref="B195:C195"/>
    <mergeCell ref="B178:C178"/>
    <mergeCell ref="B176:C176"/>
    <mergeCell ref="B273:C273"/>
    <mergeCell ref="B258:F258"/>
    <mergeCell ref="B257:D257"/>
    <mergeCell ref="B264:D264"/>
    <mergeCell ref="B265:F265"/>
    <mergeCell ref="B310:C310"/>
    <mergeCell ref="B239:C239"/>
    <mergeCell ref="B214:C214"/>
    <mergeCell ref="B215:F215"/>
    <mergeCell ref="B224:F224"/>
    <mergeCell ref="B281:C281"/>
    <mergeCell ref="B289:C289"/>
    <mergeCell ref="B300:D300"/>
    <mergeCell ref="B290:C290"/>
    <mergeCell ref="B282:C282"/>
    <mergeCell ref="B274:C274"/>
    <mergeCell ref="B299:D299"/>
    <mergeCell ref="B269:E269"/>
    <mergeCell ref="B240:G240"/>
    <mergeCell ref="B247:F247"/>
    <mergeCell ref="B246:C246"/>
  </mergeCells>
  <dataValidations count="1">
    <dataValidation type="list" allowBlank="1" showInputMessage="1" showErrorMessage="1" sqref="C41" xr:uid="{00000000-0002-0000-0100-000000000000}">
      <formula1>$B$51:$B$54</formula1>
    </dataValidation>
  </dataValidations>
  <hyperlinks>
    <hyperlink ref="D67" r:id="rId1" xr:uid="{00000000-0004-0000-0100-000000000000}"/>
    <hyperlink ref="D29" r:id="rId2" xr:uid="{00000000-0004-0000-0100-000001000000}"/>
    <hyperlink ref="D175" r:id="rId3" xr:uid="{00000000-0004-0000-0100-000002000000}"/>
    <hyperlink ref="D176" r:id="rId4" xr:uid="{00000000-0004-0000-0100-000003000000}"/>
    <hyperlink ref="D310" r:id="rId5" xr:uid="{00000000-0004-0000-0100-000004000000}"/>
    <hyperlink ref="D246" r:id="rId6" xr:uid="{00000000-0004-0000-0100-000005000000}"/>
    <hyperlink ref="D239" r:id="rId7" xr:uid="{00000000-0004-0000-0100-000006000000}"/>
    <hyperlink ref="D214" r:id="rId8" xr:uid="{00000000-0004-0000-0100-000007000000}"/>
    <hyperlink ref="D36" r:id="rId9" xr:uid="{00000000-0004-0000-0100-000008000000}"/>
    <hyperlink ref="C7" location="Inputs!B16" display="Energy Data" xr:uid="{00000000-0004-0000-0100-000009000000}"/>
    <hyperlink ref="C8" location="Inputs!B212" display="Transportation Data" xr:uid="{00000000-0004-0000-0100-00000A000000}"/>
    <hyperlink ref="C9" location="Inputs!B261" display="Waste Data" xr:uid="{00000000-0004-0000-0100-00000B000000}"/>
    <hyperlink ref="D195" r:id="rId10" xr:uid="{00000000-0004-0000-0100-00000E000000}"/>
    <hyperlink ref="D203" r:id="rId11" xr:uid="{00000000-0004-0000-0100-00000F000000}"/>
    <hyperlink ref="D233" r:id="rId12" xr:uid="{00000000-0004-0000-0100-000010000000}"/>
    <hyperlink ref="D194" r:id="rId13" xr:uid="{16ECAAFB-31C0-43BA-A18A-D9EF14074DCA}"/>
    <hyperlink ref="D193" r:id="rId14" xr:uid="{9DA78BEB-B536-451E-8487-2560C6F6BC93}"/>
  </hyperlinks>
  <pageMargins left="0.7" right="0.7" top="0.75" bottom="0.75" header="0.3" footer="0.3"/>
  <pageSetup orientation="portrait" r:id="rId15"/>
  <drawing r:id="rId16"/>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100-000001000000}">
          <x14:formula1>
            <xm:f>'Drop-Downs'!$A$2:$A$3</xm:f>
          </x14:formula1>
          <xm:sqref>C271 C287 C46:C49 C51:C54</xm:sqref>
        </x14:dataValidation>
        <x14:dataValidation type="list" allowBlank="1" showInputMessage="1" showErrorMessage="1" xr:uid="{00000000-0002-0000-0100-000002000000}">
          <x14:formula1>
            <xm:f>'Drop-Downs'!$B$2:$B$4</xm:f>
          </x14:formula1>
          <xm:sqref>C279</xm:sqref>
        </x14:dataValidation>
        <x14:dataValidation type="list" allowBlank="1" showInputMessage="1" showErrorMessage="1" xr:uid="{00000000-0002-0000-0100-000003000000}">
          <x14:formula1>
            <xm:f>'Drop-Downs'!$C$2:$C$7</xm:f>
          </x14:formula1>
          <xm:sqref>C20</xm:sqref>
        </x14:dataValidation>
        <x14:dataValidation type="list" allowBlank="1" showInputMessage="1" showErrorMessage="1" xr:uid="{00000000-0002-0000-0100-000004000000}">
          <x14:formula1>
            <xm:f>'Drop-Downs'!$E$2:$E$352</xm:f>
          </x14:formula1>
          <xm:sqref>C12</xm:sqref>
        </x14:dataValidation>
        <x14:dataValidation type="list" allowBlank="1" showInputMessage="1" showErrorMessage="1" xr:uid="{00000000-0002-0000-0100-000005000000}">
          <x14:formula1>
            <xm:f>'Drop-Downs'!$F$2:$F$7</xm:f>
          </x14:formula1>
          <xm:sqref>C306</xm:sqref>
        </x14:dataValidation>
        <x14:dataValidation type="list" allowBlank="1" showInputMessage="1" showErrorMessage="1" xr:uid="{00000000-0002-0000-0100-000006000000}">
          <x14:formula1>
            <xm:f>'Drop-Downs'!$G$2:$G$4</xm:f>
          </x14:formula1>
          <xm:sqref>C40</xm:sqref>
        </x14:dataValidation>
        <x14:dataValidation type="list" allowBlank="1" showInputMessage="1" showErrorMessage="1" xr:uid="{00000000-0002-0000-0100-000007000000}">
          <x14:formula1>
            <xm:f>'Drop-Downs'!$G$2:$G$3</xm:f>
          </x14:formula1>
          <xm:sqref>D40</xm:sqref>
        </x14:dataValidation>
        <x14:dataValidation type="list" allowBlank="1" showInputMessage="1" showErrorMessage="1" xr:uid="{00000000-0002-0000-0100-000008000000}">
          <x14:formula1>
            <xm:f>'Drop-Downs'!$I$2:$I$15</xm:f>
          </x14:formula1>
          <xm:sqref>C205:D205</xm:sqref>
        </x14:dataValidation>
        <x14:dataValidation type="list" allowBlank="1" showInputMessage="1" showErrorMessage="1" xr:uid="{00000000-0002-0000-0100-000009000000}">
          <x14:formula1>
            <xm:f>'Drop-Downs'!$D$2:$D$43</xm:f>
          </x14:formula1>
          <xm:sqref>C21</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tint="-0.249977111117893"/>
  </sheetPr>
  <dimension ref="A1:N76"/>
  <sheetViews>
    <sheetView showGridLines="0" topLeftCell="A10" zoomScaleNormal="100" workbookViewId="0">
      <selection activeCell="C20" sqref="C20"/>
    </sheetView>
  </sheetViews>
  <sheetFormatPr defaultRowHeight="12.75" x14ac:dyDescent="0.2"/>
  <cols>
    <col min="1" max="1" width="2.7109375" style="28" customWidth="1"/>
    <col min="2" max="2" width="88.7109375" style="2" customWidth="1"/>
    <col min="3" max="3" width="20.42578125" style="7" customWidth="1"/>
    <col min="4" max="4" width="17.28515625" style="6" customWidth="1"/>
    <col min="5" max="5" width="22.85546875" style="6" customWidth="1"/>
    <col min="6" max="6" width="29.140625" style="6" customWidth="1"/>
    <col min="7" max="7" width="24.5703125" style="6" customWidth="1"/>
    <col min="8" max="8" width="26.28515625" style="6" customWidth="1"/>
    <col min="9" max="9" width="19.5703125" style="6" customWidth="1"/>
    <col min="10" max="10" width="21.7109375" style="6" customWidth="1"/>
    <col min="11" max="11" width="22.85546875" style="6" customWidth="1"/>
    <col min="12" max="12" width="15.7109375" style="6" customWidth="1"/>
    <col min="13" max="13" width="25.7109375" style="6" customWidth="1"/>
    <col min="14" max="14" width="15.7109375" style="28" customWidth="1"/>
    <col min="15" max="23" width="18.28515625" style="6" customWidth="1"/>
    <col min="24" max="16384" width="9.140625" style="6"/>
  </cols>
  <sheetData>
    <row r="1" spans="2:14" s="28" customFormat="1" ht="13.5" thickBot="1" x14ac:dyDescent="0.25">
      <c r="B1" s="118"/>
      <c r="C1" s="118"/>
    </row>
    <row r="2" spans="2:14" s="28" customFormat="1" ht="23.25" customHeight="1" thickBot="1" x14ac:dyDescent="0.25">
      <c r="B2" s="2284" t="s">
        <v>1451</v>
      </c>
      <c r="C2" s="2364"/>
      <c r="D2" s="2364"/>
      <c r="E2" s="1966"/>
    </row>
    <row r="3" spans="2:14" s="28" customFormat="1" x14ac:dyDescent="0.2">
      <c r="B3" s="224" t="s">
        <v>247</v>
      </c>
      <c r="C3" s="2230" t="s">
        <v>17</v>
      </c>
      <c r="D3" s="2267"/>
      <c r="E3" s="2268"/>
    </row>
    <row r="4" spans="2:14" s="28" customFormat="1" ht="13.5" thickBot="1" x14ac:dyDescent="0.25">
      <c r="B4" s="225" t="s">
        <v>250</v>
      </c>
      <c r="C4" s="2269" t="s">
        <v>216</v>
      </c>
      <c r="D4" s="2113"/>
      <c r="E4" s="2270"/>
    </row>
    <row r="5" spans="2:14" s="28" customFormat="1" ht="13.5" thickBot="1" x14ac:dyDescent="0.25">
      <c r="B5" s="214"/>
      <c r="C5" s="214"/>
      <c r="D5" s="214"/>
      <c r="E5" s="214"/>
    </row>
    <row r="6" spans="2:14" s="28" customFormat="1" ht="15.75" thickBot="1" x14ac:dyDescent="0.25">
      <c r="B6" s="1968" t="s">
        <v>91</v>
      </c>
      <c r="C6" s="1974"/>
      <c r="D6" s="1974"/>
      <c r="E6" s="1975"/>
    </row>
    <row r="7" spans="2:14" s="28" customFormat="1" ht="199.5" customHeight="1" thickBot="1" x14ac:dyDescent="0.25">
      <c r="B7" s="2093" t="s">
        <v>1419</v>
      </c>
      <c r="C7" s="2094"/>
      <c r="D7" s="2094"/>
      <c r="E7" s="2095"/>
    </row>
    <row r="8" spans="2:14" s="28" customFormat="1" ht="13.5" customHeight="1" thickBot="1" x14ac:dyDescent="0.25">
      <c r="B8" s="66"/>
      <c r="C8" s="29"/>
      <c r="D8" s="67"/>
      <c r="E8" s="67"/>
      <c r="F8" s="65"/>
      <c r="G8" s="65"/>
      <c r="H8" s="65"/>
      <c r="I8" s="65"/>
      <c r="J8" s="65"/>
      <c r="K8" s="65"/>
      <c r="L8" s="65"/>
      <c r="M8" s="64"/>
    </row>
    <row r="9" spans="2:14" s="28" customFormat="1" ht="18.75" customHeight="1" thickBot="1" x14ac:dyDescent="0.3">
      <c r="B9" s="1964" t="s">
        <v>1176</v>
      </c>
      <c r="C9" s="2238"/>
      <c r="D9" s="2239"/>
      <c r="E9" s="65"/>
      <c r="F9" s="67"/>
      <c r="G9" s="65"/>
      <c r="H9" s="65"/>
      <c r="I9" s="65"/>
      <c r="J9" s="65"/>
      <c r="K9" s="65"/>
      <c r="L9" s="65"/>
      <c r="M9" s="65"/>
      <c r="N9" s="64"/>
    </row>
    <row r="10" spans="2:14" s="28" customFormat="1" ht="28.5" customHeight="1" x14ac:dyDescent="0.2">
      <c r="B10" s="1535" t="s">
        <v>1210</v>
      </c>
      <c r="C10" s="527" t="s">
        <v>358</v>
      </c>
      <c r="D10" s="1105" t="s">
        <v>359</v>
      </c>
      <c r="E10" s="67"/>
      <c r="F10" s="65"/>
      <c r="G10" s="65"/>
      <c r="H10" s="65"/>
      <c r="I10" s="65"/>
      <c r="J10" s="65"/>
      <c r="K10" s="65"/>
      <c r="L10" s="65"/>
      <c r="M10" s="64"/>
    </row>
    <row r="11" spans="2:14" s="28" customFormat="1" x14ac:dyDescent="0.2">
      <c r="B11" s="1541" t="s">
        <v>1414</v>
      </c>
      <c r="C11" s="1153">
        <v>0</v>
      </c>
      <c r="D11" s="1542">
        <f>D32</f>
        <v>0</v>
      </c>
      <c r="E11" s="1544"/>
      <c r="F11" s="65"/>
      <c r="G11" s="65"/>
      <c r="H11" s="65"/>
      <c r="I11" s="65"/>
      <c r="J11" s="65"/>
      <c r="K11" s="65"/>
      <c r="L11" s="65"/>
      <c r="M11" s="64"/>
    </row>
    <row r="12" spans="2:14" s="28" customFormat="1" x14ac:dyDescent="0.2">
      <c r="B12" s="1541" t="s">
        <v>1415</v>
      </c>
      <c r="C12" s="1153">
        <f>C70</f>
        <v>0</v>
      </c>
      <c r="D12" s="1542">
        <f>C71</f>
        <v>0</v>
      </c>
      <c r="E12" s="1544"/>
      <c r="F12" s="65"/>
      <c r="G12" s="65"/>
      <c r="H12" s="65"/>
      <c r="I12" s="65"/>
      <c r="J12" s="65"/>
      <c r="K12" s="65"/>
      <c r="L12" s="65"/>
      <c r="M12" s="64"/>
    </row>
    <row r="13" spans="2:14" s="28" customFormat="1" ht="15" customHeight="1" thickBot="1" x14ac:dyDescent="0.25">
      <c r="B13" s="427" t="s">
        <v>1416</v>
      </c>
      <c r="C13" s="1532">
        <f>SUM(C11:C12)</f>
        <v>0</v>
      </c>
      <c r="D13" s="1549">
        <f>SUM(D11:D12)</f>
        <v>0</v>
      </c>
      <c r="E13" s="67"/>
      <c r="F13" s="65"/>
      <c r="G13" s="65"/>
      <c r="H13" s="65"/>
      <c r="I13" s="65"/>
      <c r="J13" s="65"/>
      <c r="K13" s="65"/>
      <c r="L13" s="65"/>
      <c r="M13" s="64"/>
    </row>
    <row r="14" spans="2:14" s="28" customFormat="1" ht="13.5" customHeight="1" thickBot="1" x14ac:dyDescent="0.25">
      <c r="B14" s="66"/>
      <c r="C14" s="29"/>
      <c r="D14" s="67"/>
      <c r="E14" s="67"/>
      <c r="F14" s="65"/>
      <c r="G14" s="65"/>
      <c r="H14" s="65"/>
      <c r="I14" s="65"/>
      <c r="J14" s="65"/>
      <c r="K14" s="65"/>
      <c r="L14" s="65"/>
      <c r="M14" s="64"/>
    </row>
    <row r="15" spans="2:14" s="28" customFormat="1" ht="16.5" customHeight="1" x14ac:dyDescent="0.2">
      <c r="B15" s="2429" t="s">
        <v>1408</v>
      </c>
      <c r="C15" s="2430"/>
      <c r="D15" s="67"/>
      <c r="E15" s="67"/>
      <c r="F15" s="65"/>
      <c r="G15" s="65"/>
      <c r="H15" s="65"/>
      <c r="I15" s="65"/>
      <c r="J15" s="65"/>
      <c r="K15" s="65"/>
      <c r="L15" s="65"/>
      <c r="M15" s="64"/>
    </row>
    <row r="16" spans="2:14" s="28" customFormat="1" ht="13.5" customHeight="1" x14ac:dyDescent="0.2">
      <c r="B16" s="530" t="s">
        <v>1210</v>
      </c>
      <c r="C16" s="462" t="s">
        <v>169</v>
      </c>
      <c r="D16" s="67"/>
      <c r="E16" s="67"/>
      <c r="F16" s="65"/>
      <c r="G16" s="65"/>
      <c r="H16" s="65"/>
      <c r="I16" s="65"/>
      <c r="J16" s="65"/>
      <c r="K16" s="65"/>
      <c r="L16" s="65"/>
      <c r="M16" s="64"/>
    </row>
    <row r="17" spans="2:13" s="28" customFormat="1" ht="13.5" customHeight="1" x14ac:dyDescent="0.2">
      <c r="B17" s="1541" t="s">
        <v>1409</v>
      </c>
      <c r="C17" s="1545">
        <f>Inputs!C311</f>
        <v>0</v>
      </c>
      <c r="D17" s="67"/>
      <c r="E17" s="67"/>
      <c r="F17" s="65"/>
      <c r="G17" s="65"/>
      <c r="H17" s="65"/>
      <c r="I17" s="65"/>
      <c r="J17" s="65"/>
      <c r="K17" s="65"/>
      <c r="L17" s="65"/>
      <c r="M17" s="64"/>
    </row>
    <row r="18" spans="2:13" s="28" customFormat="1" ht="13.5" customHeight="1" x14ac:dyDescent="0.2">
      <c r="B18" s="1541" t="s">
        <v>1410</v>
      </c>
      <c r="C18" s="1546">
        <f>IF(Inputs!C306="None of these WWTPs",0,Inputs!C308)</f>
        <v>0</v>
      </c>
      <c r="D18" s="67"/>
      <c r="E18" s="67"/>
      <c r="F18" s="65"/>
      <c r="G18" s="65"/>
      <c r="H18" s="65"/>
      <c r="I18" s="65"/>
      <c r="J18" s="65"/>
      <c r="K18" s="65"/>
      <c r="L18" s="65"/>
      <c r="M18" s="64"/>
    </row>
    <row r="19" spans="2:13" s="28" customFormat="1" ht="13.5" customHeight="1" x14ac:dyDescent="0.2">
      <c r="B19" s="1543" t="s">
        <v>1407</v>
      </c>
      <c r="C19" s="1548">
        <f>C17*C18</f>
        <v>0</v>
      </c>
      <c r="D19" s="67"/>
      <c r="E19" s="67"/>
      <c r="F19" s="65"/>
      <c r="G19" s="65"/>
      <c r="H19" s="65"/>
      <c r="I19" s="65"/>
      <c r="J19" s="65"/>
      <c r="K19" s="65"/>
      <c r="L19" s="65"/>
      <c r="M19" s="64"/>
    </row>
    <row r="20" spans="2:13" s="28" customFormat="1" ht="13.5" customHeight="1" thickBot="1" x14ac:dyDescent="0.25">
      <c r="B20" s="1117" t="s">
        <v>1411</v>
      </c>
      <c r="C20" s="1547">
        <f>C17*(1-C18)</f>
        <v>0</v>
      </c>
      <c r="D20" s="67"/>
      <c r="E20" s="67"/>
      <c r="F20" s="65"/>
      <c r="G20" s="65"/>
      <c r="H20" s="65"/>
      <c r="I20" s="65"/>
      <c r="J20" s="65"/>
      <c r="K20" s="65"/>
      <c r="L20" s="65"/>
      <c r="M20" s="64"/>
    </row>
    <row r="21" spans="2:13" s="28" customFormat="1" ht="13.5" customHeight="1" thickBot="1" x14ac:dyDescent="0.25">
      <c r="B21" s="66"/>
      <c r="C21" s="29"/>
      <c r="D21" s="67"/>
      <c r="E21" s="67"/>
      <c r="F21" s="65"/>
      <c r="G21" s="65"/>
      <c r="H21" s="65"/>
      <c r="I21" s="65"/>
      <c r="J21" s="65"/>
      <c r="K21" s="65"/>
      <c r="L21" s="65"/>
      <c r="M21" s="64"/>
    </row>
    <row r="22" spans="2:13" s="28" customFormat="1" ht="18.75" customHeight="1" thickBot="1" x14ac:dyDescent="0.25">
      <c r="B22" s="2425" t="s">
        <v>1418</v>
      </c>
      <c r="C22" s="2181"/>
      <c r="D22" s="2426"/>
      <c r="E22" s="65"/>
      <c r="F22" s="65"/>
      <c r="G22" s="64"/>
    </row>
    <row r="23" spans="2:13" s="28" customFormat="1" ht="55.5" customHeight="1" x14ac:dyDescent="0.2">
      <c r="B23" s="100" t="s">
        <v>110</v>
      </c>
      <c r="C23" s="144" t="s">
        <v>183</v>
      </c>
      <c r="D23" s="145" t="s">
        <v>169</v>
      </c>
      <c r="E23" s="65"/>
      <c r="F23" s="65"/>
      <c r="G23" s="64"/>
    </row>
    <row r="24" spans="2:13" s="28" customFormat="1" x14ac:dyDescent="0.2">
      <c r="B24" s="1161" t="s">
        <v>1413</v>
      </c>
      <c r="C24" s="169" t="s">
        <v>173</v>
      </c>
      <c r="D24" s="1389">
        <f>C19</f>
        <v>0</v>
      </c>
      <c r="E24" s="65"/>
      <c r="F24" s="65"/>
      <c r="G24" s="64"/>
    </row>
    <row r="25" spans="2:13" s="28" customFormat="1" x14ac:dyDescent="0.2">
      <c r="B25" s="1161" t="s">
        <v>174</v>
      </c>
      <c r="C25" s="169" t="s">
        <v>39</v>
      </c>
      <c r="D25" s="1388">
        <f>'Adjust Inventory Year'!D122</f>
        <v>34.1</v>
      </c>
      <c r="E25" s="65"/>
      <c r="F25" s="65"/>
      <c r="G25" s="64"/>
    </row>
    <row r="26" spans="2:13" s="28" customFormat="1" x14ac:dyDescent="0.2">
      <c r="B26" s="1162" t="s">
        <v>184</v>
      </c>
      <c r="C26" s="169" t="s">
        <v>176</v>
      </c>
      <c r="D26" s="1116">
        <v>1.4</v>
      </c>
      <c r="E26" s="65"/>
      <c r="F26" s="65"/>
      <c r="G26" s="64"/>
    </row>
    <row r="27" spans="2:13" s="28" customFormat="1" x14ac:dyDescent="0.2">
      <c r="B27" s="1162" t="s">
        <v>175</v>
      </c>
      <c r="C27" s="169" t="s">
        <v>177</v>
      </c>
      <c r="D27" s="1116">
        <v>0.16</v>
      </c>
      <c r="E27" s="65"/>
      <c r="F27" s="65"/>
      <c r="G27" s="64"/>
    </row>
    <row r="28" spans="2:13" s="28" customFormat="1" x14ac:dyDescent="0.2">
      <c r="B28" s="1162" t="s">
        <v>178</v>
      </c>
      <c r="C28" s="169" t="s">
        <v>179</v>
      </c>
      <c r="D28" s="1116">
        <v>1.25</v>
      </c>
      <c r="E28" s="65"/>
      <c r="F28" s="65"/>
      <c r="G28" s="64"/>
    </row>
    <row r="29" spans="2:13" s="28" customFormat="1" x14ac:dyDescent="0.2">
      <c r="B29" s="1162" t="s">
        <v>187</v>
      </c>
      <c r="C29" s="169" t="s">
        <v>186</v>
      </c>
      <c r="D29" s="1389">
        <v>0</v>
      </c>
      <c r="E29" s="65"/>
      <c r="F29" s="65"/>
      <c r="G29" s="64"/>
    </row>
    <row r="30" spans="2:13" s="28" customFormat="1" x14ac:dyDescent="0.2">
      <c r="B30" s="1162" t="s">
        <v>180</v>
      </c>
      <c r="C30" s="169" t="s">
        <v>188</v>
      </c>
      <c r="D30" s="1390">
        <v>5.0000000000000001E-3</v>
      </c>
      <c r="E30" s="65"/>
      <c r="F30" s="65"/>
      <c r="G30" s="64"/>
    </row>
    <row r="31" spans="2:13" s="28" customFormat="1" x14ac:dyDescent="0.2">
      <c r="B31" s="1162" t="s">
        <v>181</v>
      </c>
      <c r="C31" s="170" t="s">
        <v>182</v>
      </c>
      <c r="D31" s="1116">
        <f>44/28</f>
        <v>1.5714285714285714</v>
      </c>
      <c r="E31" s="65"/>
      <c r="F31" s="65"/>
      <c r="G31" s="64"/>
    </row>
    <row r="32" spans="2:13" s="28" customFormat="1" ht="13.5" thickBot="1" x14ac:dyDescent="0.25">
      <c r="B32" s="2427" t="s">
        <v>374</v>
      </c>
      <c r="C32" s="2428"/>
      <c r="D32" s="562">
        <f>((D24*D25*D26*D27*D28)-D29)*D30*D31*0.001</f>
        <v>0</v>
      </c>
      <c r="E32" s="65"/>
      <c r="F32" s="65"/>
      <c r="G32" s="64"/>
    </row>
    <row r="33" spans="2:13" s="28" customFormat="1" ht="56.25" customHeight="1" thickBot="1" x14ac:dyDescent="0.25">
      <c r="B33" s="2216" t="s">
        <v>1175</v>
      </c>
      <c r="C33" s="2405"/>
      <c r="D33" s="1115" t="s">
        <v>1205</v>
      </c>
      <c r="E33" s="67"/>
      <c r="F33" s="65"/>
      <c r="G33" s="65"/>
      <c r="H33" s="65"/>
      <c r="I33" s="65"/>
      <c r="J33" s="65"/>
      <c r="K33" s="65"/>
      <c r="L33" s="65"/>
      <c r="M33" s="64"/>
    </row>
    <row r="34" spans="2:13" s="28" customFormat="1" ht="69.75" customHeight="1" thickBot="1" x14ac:dyDescent="0.25">
      <c r="B34" s="2410" t="s">
        <v>1206</v>
      </c>
      <c r="C34" s="2411"/>
      <c r="D34" s="550" t="s">
        <v>185</v>
      </c>
      <c r="E34" s="67"/>
      <c r="F34" s="65"/>
      <c r="G34" s="65"/>
      <c r="H34" s="65"/>
      <c r="I34" s="65"/>
      <c r="J34" s="65"/>
      <c r="K34" s="65"/>
      <c r="L34" s="65"/>
      <c r="M34" s="64"/>
    </row>
    <row r="35" spans="2:13" s="28" customFormat="1" ht="13.5" customHeight="1" x14ac:dyDescent="0.2">
      <c r="B35" s="66"/>
      <c r="C35" s="29"/>
      <c r="D35" s="67"/>
      <c r="E35" s="67"/>
      <c r="F35" s="65"/>
      <c r="G35" s="65"/>
      <c r="H35" s="65"/>
      <c r="I35" s="65"/>
      <c r="J35" s="65"/>
      <c r="K35" s="65"/>
      <c r="L35" s="65"/>
      <c r="M35" s="64"/>
    </row>
    <row r="36" spans="2:13" s="28" customFormat="1" ht="13.5" customHeight="1" x14ac:dyDescent="0.2">
      <c r="B36" s="66"/>
      <c r="C36" s="29"/>
      <c r="D36" s="67"/>
      <c r="E36" s="67"/>
      <c r="F36" s="65"/>
      <c r="G36" s="65"/>
      <c r="H36" s="65"/>
      <c r="I36" s="65"/>
      <c r="J36" s="65"/>
      <c r="K36" s="65"/>
      <c r="L36" s="65"/>
      <c r="M36" s="64"/>
    </row>
    <row r="37" spans="2:13" s="28" customFormat="1" ht="13.5" customHeight="1" x14ac:dyDescent="0.2">
      <c r="B37" s="66"/>
      <c r="C37" s="29"/>
      <c r="D37" s="67"/>
      <c r="E37" s="67"/>
      <c r="F37" s="65"/>
      <c r="G37" s="65"/>
      <c r="H37" s="65"/>
      <c r="I37" s="65"/>
      <c r="J37" s="65"/>
      <c r="K37" s="65"/>
      <c r="L37" s="65"/>
      <c r="M37" s="64"/>
    </row>
    <row r="38" spans="2:13" s="28" customFormat="1" ht="13.5" customHeight="1" x14ac:dyDescent="0.2">
      <c r="B38" s="66"/>
      <c r="C38" s="29"/>
      <c r="D38" s="67"/>
      <c r="E38" s="67"/>
      <c r="F38" s="65"/>
      <c r="G38" s="65"/>
      <c r="H38" s="65"/>
      <c r="I38" s="65"/>
      <c r="J38" s="65"/>
      <c r="K38" s="65"/>
      <c r="L38" s="65"/>
      <c r="M38" s="64"/>
    </row>
    <row r="39" spans="2:13" s="28" customFormat="1" ht="13.5" customHeight="1" x14ac:dyDescent="0.2">
      <c r="B39" s="66"/>
      <c r="C39" s="29"/>
      <c r="D39" s="67"/>
      <c r="E39" s="67"/>
      <c r="F39" s="65"/>
      <c r="G39" s="65"/>
      <c r="H39" s="65"/>
      <c r="I39" s="65"/>
      <c r="J39" s="65"/>
      <c r="K39" s="65"/>
      <c r="L39" s="65"/>
      <c r="M39" s="64"/>
    </row>
    <row r="40" spans="2:13" s="28" customFormat="1" ht="13.5" customHeight="1" x14ac:dyDescent="0.2">
      <c r="B40" s="66"/>
      <c r="C40" s="29"/>
      <c r="D40" s="67"/>
      <c r="E40" s="67"/>
      <c r="F40" s="65"/>
      <c r="G40" s="65"/>
      <c r="H40" s="65"/>
      <c r="I40" s="65"/>
      <c r="J40" s="65"/>
      <c r="K40" s="65"/>
      <c r="L40" s="65"/>
      <c r="M40" s="64"/>
    </row>
    <row r="41" spans="2:13" s="28" customFormat="1" ht="13.5" customHeight="1" x14ac:dyDescent="0.2">
      <c r="B41" s="66"/>
      <c r="C41" s="29"/>
      <c r="D41" s="67"/>
      <c r="E41" s="67"/>
      <c r="F41" s="65"/>
      <c r="G41" s="65"/>
      <c r="H41" s="65"/>
      <c r="I41" s="65"/>
      <c r="J41" s="65"/>
      <c r="K41" s="65"/>
      <c r="L41" s="65"/>
      <c r="M41" s="64"/>
    </row>
    <row r="42" spans="2:13" s="28" customFormat="1" ht="13.5" customHeight="1" x14ac:dyDescent="0.2">
      <c r="B42" s="66"/>
      <c r="C42" s="29"/>
      <c r="D42" s="67"/>
      <c r="E42" s="67"/>
      <c r="F42" s="65"/>
      <c r="G42" s="65"/>
      <c r="H42" s="65"/>
      <c r="I42" s="65"/>
      <c r="J42" s="65"/>
      <c r="K42" s="65"/>
      <c r="L42" s="65"/>
      <c r="M42" s="64"/>
    </row>
    <row r="43" spans="2:13" s="28" customFormat="1" ht="13.5" customHeight="1" x14ac:dyDescent="0.2">
      <c r="B43" s="66"/>
      <c r="C43" s="29"/>
      <c r="D43" s="67"/>
      <c r="E43" s="67"/>
      <c r="F43" s="65"/>
      <c r="G43" s="65"/>
      <c r="H43" s="65"/>
      <c r="I43" s="65"/>
      <c r="J43" s="65"/>
      <c r="K43" s="65"/>
      <c r="L43" s="65"/>
      <c r="M43" s="64"/>
    </row>
    <row r="44" spans="2:13" s="28" customFormat="1" ht="13.5" customHeight="1" x14ac:dyDescent="0.2">
      <c r="B44" s="66"/>
      <c r="C44" s="29"/>
      <c r="D44" s="67"/>
      <c r="E44" s="67"/>
      <c r="F44" s="65"/>
      <c r="G44" s="65"/>
      <c r="H44" s="65"/>
      <c r="I44" s="65"/>
      <c r="J44" s="65"/>
      <c r="K44" s="65"/>
      <c r="L44" s="65"/>
      <c r="M44" s="64"/>
    </row>
    <row r="45" spans="2:13" s="28" customFormat="1" ht="13.5" customHeight="1" x14ac:dyDescent="0.2">
      <c r="B45" s="66"/>
      <c r="C45" s="29"/>
      <c r="D45" s="67"/>
      <c r="E45" s="67"/>
      <c r="F45" s="65"/>
      <c r="G45" s="65"/>
      <c r="H45" s="65"/>
      <c r="I45" s="65"/>
      <c r="J45" s="65"/>
      <c r="K45" s="65"/>
      <c r="L45" s="65"/>
      <c r="M45" s="64"/>
    </row>
    <row r="46" spans="2:13" s="28" customFormat="1" ht="13.5" customHeight="1" x14ac:dyDescent="0.2">
      <c r="B46" s="66"/>
      <c r="C46" s="29"/>
      <c r="D46" s="67"/>
      <c r="E46" s="67"/>
      <c r="F46" s="65"/>
      <c r="G46" s="65"/>
      <c r="H46" s="65"/>
      <c r="I46" s="65"/>
      <c r="J46" s="65"/>
      <c r="K46" s="65"/>
      <c r="L46" s="65"/>
      <c r="M46" s="64"/>
    </row>
    <row r="47" spans="2:13" s="28" customFormat="1" ht="13.5" customHeight="1" x14ac:dyDescent="0.2">
      <c r="B47" s="66"/>
      <c r="C47" s="29"/>
      <c r="D47" s="67"/>
      <c r="E47" s="67"/>
      <c r="F47" s="65"/>
      <c r="G47" s="65"/>
      <c r="H47" s="65"/>
      <c r="I47" s="65"/>
      <c r="J47" s="65"/>
      <c r="K47" s="65"/>
      <c r="L47" s="65"/>
      <c r="M47" s="64"/>
    </row>
    <row r="48" spans="2:13" s="28" customFormat="1" ht="13.5" customHeight="1" x14ac:dyDescent="0.2">
      <c r="B48" s="66"/>
      <c r="C48" s="29"/>
      <c r="D48" s="67"/>
      <c r="E48" s="67"/>
      <c r="F48" s="65"/>
      <c r="G48" s="65"/>
      <c r="H48" s="65"/>
      <c r="I48" s="65"/>
      <c r="J48" s="65"/>
      <c r="K48" s="65"/>
      <c r="L48" s="65"/>
      <c r="M48" s="64"/>
    </row>
    <row r="49" spans="2:14" s="28" customFormat="1" ht="13.5" customHeight="1" x14ac:dyDescent="0.2">
      <c r="B49" s="66"/>
      <c r="C49" s="29"/>
      <c r="D49" s="67"/>
      <c r="E49" s="67"/>
      <c r="F49" s="65"/>
      <c r="G49" s="65"/>
      <c r="H49" s="65"/>
      <c r="I49" s="65"/>
      <c r="J49" s="65"/>
      <c r="K49" s="65"/>
      <c r="L49" s="65"/>
      <c r="M49" s="64"/>
    </row>
    <row r="50" spans="2:14" s="28" customFormat="1" ht="13.5" customHeight="1" x14ac:dyDescent="0.2">
      <c r="B50" s="66"/>
      <c r="C50" s="29"/>
      <c r="D50" s="67"/>
      <c r="E50" s="67"/>
      <c r="F50" s="65"/>
      <c r="G50" s="65"/>
      <c r="H50" s="65"/>
      <c r="I50" s="65"/>
      <c r="J50" s="65"/>
      <c r="K50" s="65"/>
      <c r="L50" s="65"/>
      <c r="M50" s="64"/>
    </row>
    <row r="51" spans="2:14" s="28" customFormat="1" ht="13.5" customHeight="1" x14ac:dyDescent="0.2">
      <c r="B51" s="66"/>
      <c r="C51" s="29"/>
      <c r="D51" s="67"/>
      <c r="E51" s="67"/>
      <c r="F51" s="65"/>
      <c r="G51" s="65"/>
      <c r="H51" s="65"/>
      <c r="I51" s="65"/>
      <c r="J51" s="65"/>
      <c r="K51" s="65"/>
      <c r="L51" s="65"/>
      <c r="M51" s="64"/>
    </row>
    <row r="52" spans="2:14" s="28" customFormat="1" ht="13.5" customHeight="1" x14ac:dyDescent="0.2">
      <c r="B52" s="66"/>
      <c r="C52" s="29"/>
      <c r="D52" s="67"/>
      <c r="E52" s="67"/>
      <c r="F52" s="65"/>
      <c r="G52" s="65"/>
      <c r="H52" s="65"/>
      <c r="I52" s="65"/>
      <c r="J52" s="65"/>
      <c r="K52" s="65"/>
      <c r="L52" s="65"/>
      <c r="M52" s="64"/>
    </row>
    <row r="53" spans="2:14" s="28" customFormat="1" ht="13.5" customHeight="1" x14ac:dyDescent="0.2">
      <c r="B53" s="66"/>
      <c r="C53" s="29"/>
      <c r="D53" s="67"/>
      <c r="E53" s="67"/>
      <c r="F53" s="65"/>
      <c r="G53" s="65"/>
      <c r="H53" s="65"/>
      <c r="I53" s="65"/>
      <c r="J53" s="65"/>
      <c r="K53" s="65"/>
      <c r="L53" s="65"/>
      <c r="M53" s="64"/>
    </row>
    <row r="54" spans="2:14" s="28" customFormat="1" ht="13.5" customHeight="1" x14ac:dyDescent="0.2">
      <c r="B54" s="66"/>
      <c r="C54" s="29"/>
      <c r="D54" s="67"/>
      <c r="F54" s="65"/>
      <c r="G54" s="65"/>
      <c r="H54" s="65"/>
      <c r="I54" s="65"/>
      <c r="J54" s="65"/>
      <c r="K54" s="65"/>
      <c r="L54" s="65"/>
      <c r="M54" s="64"/>
    </row>
    <row r="55" spans="2:14" s="28" customFormat="1" ht="13.5" customHeight="1" x14ac:dyDescent="0.2">
      <c r="B55" s="66"/>
      <c r="C55" s="29"/>
      <c r="D55" s="67"/>
      <c r="E55" s="67"/>
      <c r="F55" s="65"/>
      <c r="G55" s="65"/>
      <c r="H55" s="65"/>
      <c r="I55" s="65"/>
      <c r="J55" s="65"/>
      <c r="K55" s="65"/>
      <c r="L55" s="65"/>
      <c r="M55" s="64"/>
    </row>
    <row r="56" spans="2:14" s="28" customFormat="1" ht="13.5" customHeight="1" x14ac:dyDescent="0.2">
      <c r="B56" s="66"/>
      <c r="C56" s="29"/>
      <c r="D56" s="67"/>
      <c r="E56" s="67"/>
      <c r="F56" s="65"/>
      <c r="G56" s="65"/>
      <c r="H56" s="65"/>
      <c r="I56" s="65"/>
      <c r="J56" s="65"/>
      <c r="K56" s="65"/>
      <c r="L56" s="65"/>
      <c r="M56" s="64"/>
    </row>
    <row r="57" spans="2:14" ht="13.5" thickBot="1" x14ac:dyDescent="0.25">
      <c r="B57" s="28"/>
      <c r="C57" s="28"/>
      <c r="D57" s="28"/>
      <c r="E57" s="28"/>
      <c r="F57" s="28"/>
      <c r="G57" s="28"/>
    </row>
    <row r="58" spans="2:14" ht="40.5" customHeight="1" thickBot="1" x14ac:dyDescent="0.25">
      <c r="B58" s="2425" t="s">
        <v>1420</v>
      </c>
      <c r="C58" s="2426"/>
      <c r="M58" s="28"/>
      <c r="N58" s="6"/>
    </row>
    <row r="59" spans="2:14" ht="42.75" customHeight="1" x14ac:dyDescent="0.2">
      <c r="B59" s="1104" t="s">
        <v>1172</v>
      </c>
      <c r="C59" s="145" t="s">
        <v>169</v>
      </c>
      <c r="M59" s="28"/>
      <c r="N59" s="6"/>
    </row>
    <row r="60" spans="2:14" ht="13.5" customHeight="1" x14ac:dyDescent="0.2">
      <c r="B60" s="1159" t="s">
        <v>1165</v>
      </c>
      <c r="C60" s="1391">
        <v>0.34263796246875</v>
      </c>
      <c r="M60" s="28"/>
      <c r="N60" s="6"/>
    </row>
    <row r="61" spans="2:14" s="28" customFormat="1" ht="13.5" customHeight="1" x14ac:dyDescent="0.2">
      <c r="B61" s="1160" t="s">
        <v>1207</v>
      </c>
      <c r="C61" s="1392">
        <v>25</v>
      </c>
    </row>
    <row r="62" spans="2:14" s="28" customFormat="1" ht="13.5" customHeight="1" x14ac:dyDescent="0.2">
      <c r="B62" s="1160" t="s">
        <v>1166</v>
      </c>
      <c r="C62" s="1109">
        <f>(C60/C61)*'Emission Factors'!$D$142</f>
        <v>13705.51849875</v>
      </c>
    </row>
    <row r="63" spans="2:14" s="28" customFormat="1" ht="13.5" customHeight="1" x14ac:dyDescent="0.2">
      <c r="B63" s="1159" t="s">
        <v>1167</v>
      </c>
      <c r="C63" s="1393">
        <v>9.1918348309846951E-2</v>
      </c>
    </row>
    <row r="64" spans="2:14" ht="13.5" customHeight="1" x14ac:dyDescent="0.2">
      <c r="B64" s="1160" t="s">
        <v>1208</v>
      </c>
      <c r="C64" s="1392">
        <v>298</v>
      </c>
      <c r="D64" s="28"/>
      <c r="M64" s="28"/>
      <c r="N64" s="6"/>
    </row>
    <row r="65" spans="2:14" ht="13.5" customHeight="1" x14ac:dyDescent="0.2">
      <c r="B65" s="1160" t="s">
        <v>1168</v>
      </c>
      <c r="C65" s="1110">
        <f>(C63/C64)*'Emission Factors'!$D$142</f>
        <v>308.45083325451998</v>
      </c>
      <c r="M65" s="28"/>
      <c r="N65" s="6"/>
    </row>
    <row r="66" spans="2:14" ht="13.5" customHeight="1" x14ac:dyDescent="0.2">
      <c r="B66" s="1160" t="s">
        <v>1164</v>
      </c>
      <c r="C66" s="1109">
        <v>4279130</v>
      </c>
      <c r="M66" s="28"/>
      <c r="N66" s="6"/>
    </row>
    <row r="67" spans="2:14" ht="13.5" customHeight="1" x14ac:dyDescent="0.2">
      <c r="B67" s="1160" t="s">
        <v>1169</v>
      </c>
      <c r="C67" s="1111">
        <f>C62/C66</f>
        <v>3.202875E-3</v>
      </c>
      <c r="M67" s="28"/>
      <c r="N67" s="6"/>
    </row>
    <row r="68" spans="2:14" ht="13.5" customHeight="1" x14ac:dyDescent="0.2">
      <c r="B68" s="1160" t="s">
        <v>1170</v>
      </c>
      <c r="C68" s="1111">
        <f>C65/C66</f>
        <v>7.2082603999999991E-5</v>
      </c>
      <c r="M68" s="28"/>
      <c r="N68" s="6"/>
    </row>
    <row r="69" spans="2:14" ht="13.5" customHeight="1" x14ac:dyDescent="0.2">
      <c r="B69" s="1160" t="s">
        <v>1412</v>
      </c>
      <c r="C69" s="1112">
        <f>C20</f>
        <v>0</v>
      </c>
      <c r="M69" s="28"/>
      <c r="N69" s="6"/>
    </row>
    <row r="70" spans="2:14" ht="15" customHeight="1" x14ac:dyDescent="0.2">
      <c r="B70" s="1113" t="s">
        <v>1171</v>
      </c>
      <c r="C70" s="1120">
        <f>C67*C69</f>
        <v>0</v>
      </c>
      <c r="M70" s="28"/>
      <c r="N70" s="6"/>
    </row>
    <row r="71" spans="2:14" s="28" customFormat="1" ht="15" customHeight="1" thickBot="1" x14ac:dyDescent="0.25">
      <c r="B71" s="1114" t="s">
        <v>374</v>
      </c>
      <c r="C71" s="1121">
        <f>C68*C69</f>
        <v>0</v>
      </c>
    </row>
    <row r="72" spans="2:14" ht="40.5" customHeight="1" x14ac:dyDescent="0.2">
      <c r="B72" s="2422" t="s">
        <v>1421</v>
      </c>
      <c r="C72" s="2423"/>
      <c r="D72" s="1118" t="s">
        <v>1173</v>
      </c>
      <c r="E72" s="503"/>
      <c r="M72" s="28"/>
      <c r="N72" s="6"/>
    </row>
    <row r="73" spans="2:14" ht="57" customHeight="1" thickBot="1" x14ac:dyDescent="0.25">
      <c r="B73" s="2424" t="s">
        <v>1216</v>
      </c>
      <c r="C73" s="2173"/>
      <c r="D73" s="1119" t="s">
        <v>1174</v>
      </c>
      <c r="E73" s="503"/>
      <c r="M73" s="28"/>
      <c r="N73" s="6"/>
    </row>
    <row r="74" spans="2:14" x14ac:dyDescent="0.2">
      <c r="B74" s="28"/>
      <c r="C74" s="28"/>
      <c r="M74" s="28"/>
      <c r="N74" s="6"/>
    </row>
    <row r="75" spans="2:14" x14ac:dyDescent="0.2">
      <c r="B75" s="28"/>
      <c r="C75" s="28"/>
      <c r="M75" s="28"/>
      <c r="N75" s="6"/>
    </row>
    <row r="76" spans="2:14" ht="16.5" customHeight="1" x14ac:dyDescent="0.2">
      <c r="B76" s="28"/>
      <c r="C76" s="28"/>
      <c r="M76" s="28"/>
      <c r="N76" s="6"/>
    </row>
  </sheetData>
  <mergeCells count="14">
    <mergeCell ref="C3:E3"/>
    <mergeCell ref="C4:E4"/>
    <mergeCell ref="B2:E2"/>
    <mergeCell ref="B6:E6"/>
    <mergeCell ref="B32:C32"/>
    <mergeCell ref="B22:D22"/>
    <mergeCell ref="B7:E7"/>
    <mergeCell ref="B15:C15"/>
    <mergeCell ref="B9:D9"/>
    <mergeCell ref="B72:C72"/>
    <mergeCell ref="B73:C73"/>
    <mergeCell ref="B58:C58"/>
    <mergeCell ref="B33:C33"/>
    <mergeCell ref="B34:C34"/>
  </mergeCells>
  <hyperlinks>
    <hyperlink ref="D33" r:id="rId1" display="EPA Inventory of U.S. Greenhosue Gas Emissions and Sinks: 1990-2017" xr:uid="{00000000-0004-0000-1300-000000000000}"/>
    <hyperlink ref="D72" r:id="rId2" xr:uid="{00000000-0004-0000-1300-000001000000}"/>
  </hyperlinks>
  <pageMargins left="0.7" right="0.7" top="0.75" bottom="0.75" header="0.3" footer="0.3"/>
  <pageSetup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1:G129"/>
  <sheetViews>
    <sheetView workbookViewId="0">
      <selection activeCell="B72" sqref="B72:C72"/>
    </sheetView>
  </sheetViews>
  <sheetFormatPr defaultRowHeight="12.75" x14ac:dyDescent="0.2"/>
  <cols>
    <col min="1" max="1" width="1.5703125" style="28" customWidth="1"/>
    <col min="2" max="2" width="48.42578125" style="28" customWidth="1"/>
    <col min="3" max="3" width="18.5703125" style="28" customWidth="1"/>
    <col min="4" max="4" width="19.140625" style="28" customWidth="1"/>
    <col min="5" max="5" width="23.42578125" style="28" customWidth="1"/>
    <col min="6" max="6" width="17.42578125" style="28" customWidth="1"/>
    <col min="7" max="7" width="15" style="28" customWidth="1"/>
    <col min="8" max="16384" width="9.140625" style="28"/>
  </cols>
  <sheetData>
    <row r="1" spans="2:7" ht="13.5" thickBot="1" x14ac:dyDescent="0.25"/>
    <row r="2" spans="2:7" ht="24" customHeight="1" thickBot="1" x14ac:dyDescent="0.25">
      <c r="B2" s="1972" t="s">
        <v>1546</v>
      </c>
      <c r="C2" s="2001"/>
      <c r="D2" s="2001"/>
      <c r="E2" s="2002"/>
    </row>
    <row r="3" spans="2:7" ht="13.5" thickBot="1" x14ac:dyDescent="0.25"/>
    <row r="4" spans="2:7" ht="107.25" customHeight="1" thickBot="1" x14ac:dyDescent="0.25">
      <c r="B4" s="2006" t="s">
        <v>1675</v>
      </c>
      <c r="C4" s="2007"/>
      <c r="D4" s="2007"/>
      <c r="E4" s="2008"/>
    </row>
    <row r="5" spans="2:7" ht="13.5" thickBot="1" x14ac:dyDescent="0.25"/>
    <row r="6" spans="2:7" ht="13.5" thickBot="1" x14ac:dyDescent="0.25">
      <c r="B6" s="745" t="s">
        <v>1402</v>
      </c>
      <c r="C6" s="1536">
        <f>Inputs!C14</f>
        <v>2017</v>
      </c>
    </row>
    <row r="7" spans="2:7" ht="13.5" thickBot="1" x14ac:dyDescent="0.25"/>
    <row r="8" spans="2:7" ht="31.5" customHeight="1" thickBot="1" x14ac:dyDescent="0.25">
      <c r="B8" s="1972" t="s">
        <v>1560</v>
      </c>
      <c r="C8" s="1973"/>
      <c r="D8" s="1973"/>
      <c r="E8" s="1966"/>
    </row>
    <row r="9" spans="2:7" ht="12" customHeight="1" thickBot="1" x14ac:dyDescent="0.25">
      <c r="B9" s="1643"/>
      <c r="C9" s="1644"/>
      <c r="D9" s="1644"/>
      <c r="E9" s="792"/>
    </row>
    <row r="10" spans="2:7" ht="79.5" customHeight="1" thickBot="1" x14ac:dyDescent="0.25">
      <c r="B10" s="1958" t="s">
        <v>1676</v>
      </c>
      <c r="C10" s="1971"/>
      <c r="D10" s="1967"/>
      <c r="E10" s="1703" t="s">
        <v>1625</v>
      </c>
      <c r="F10" s="1540" t="s">
        <v>1624</v>
      </c>
    </row>
    <row r="11" spans="2:7" ht="26.25" customHeight="1" thickBot="1" x14ac:dyDescent="0.25">
      <c r="B11" s="2023" t="s">
        <v>1623</v>
      </c>
      <c r="C11" s="2024"/>
      <c r="D11" s="2024"/>
      <c r="E11" s="2024"/>
      <c r="F11" s="2025"/>
      <c r="G11"/>
    </row>
    <row r="12" spans="2:7" x14ac:dyDescent="0.2">
      <c r="B12" s="1803" t="s">
        <v>73</v>
      </c>
      <c r="C12" s="1804" t="s">
        <v>298</v>
      </c>
      <c r="D12" s="1805" t="s">
        <v>71</v>
      </c>
      <c r="E12" s="1806" t="s">
        <v>1532</v>
      </c>
      <c r="F12" s="1807" t="s">
        <v>1533</v>
      </c>
    </row>
    <row r="13" spans="2:7" x14ac:dyDescent="0.2">
      <c r="B13" s="364" t="s">
        <v>7</v>
      </c>
      <c r="C13" s="1814">
        <v>53.06</v>
      </c>
      <c r="D13" s="1820"/>
      <c r="E13" s="1820"/>
      <c r="F13" s="1808"/>
    </row>
    <row r="14" spans="2:7" ht="13.5" thickBot="1" x14ac:dyDescent="0.25">
      <c r="B14" s="874" t="s">
        <v>1213</v>
      </c>
      <c r="C14" s="1821"/>
      <c r="D14" s="1815">
        <v>7.3959999999999998E-2</v>
      </c>
      <c r="E14" s="1816">
        <v>3.0000000000000001E-6</v>
      </c>
      <c r="F14" s="1817">
        <v>5.9999999999999997E-7</v>
      </c>
    </row>
    <row r="15" spans="2:7" ht="13.5" thickBot="1" x14ac:dyDescent="0.25">
      <c r="B15" s="1800"/>
      <c r="C15" s="1800"/>
      <c r="D15" s="1802"/>
      <c r="E15" s="1801"/>
      <c r="F15" s="1798"/>
      <c r="G15" s="1799"/>
    </row>
    <row r="16" spans="2:7" ht="174.75" customHeight="1" thickBot="1" x14ac:dyDescent="0.25">
      <c r="B16" s="1958" t="s">
        <v>1670</v>
      </c>
      <c r="C16" s="1971"/>
      <c r="D16" s="1967"/>
      <c r="E16" s="1703" t="s">
        <v>1562</v>
      </c>
    </row>
    <row r="17" spans="2:5" s="1758" customFormat="1" ht="24.75" customHeight="1" thickBot="1" x14ac:dyDescent="0.25">
      <c r="B17" s="2023" t="s">
        <v>1563</v>
      </c>
      <c r="C17" s="2024"/>
      <c r="D17" s="2025"/>
      <c r="E17"/>
    </row>
    <row r="18" spans="2:5" ht="51" customHeight="1" x14ac:dyDescent="0.2">
      <c r="B18" s="1763" t="s">
        <v>453</v>
      </c>
      <c r="C18" s="1745" t="s">
        <v>1564</v>
      </c>
      <c r="D18" s="822" t="s">
        <v>1561</v>
      </c>
    </row>
    <row r="19" spans="2:5" x14ac:dyDescent="0.2">
      <c r="B19" s="1701" t="s">
        <v>400</v>
      </c>
      <c r="C19" s="1746">
        <v>670</v>
      </c>
      <c r="D19" s="1747"/>
    </row>
    <row r="20" spans="2:5" x14ac:dyDescent="0.2">
      <c r="B20" s="1702" t="s">
        <v>401</v>
      </c>
      <c r="C20" s="1746">
        <v>5.8000000000000003E-2</v>
      </c>
      <c r="D20" s="1748"/>
    </row>
    <row r="21" spans="2:5" x14ac:dyDescent="0.2">
      <c r="B21" s="1702" t="s">
        <v>402</v>
      </c>
      <c r="C21" s="1746">
        <v>8.0000000000000002E-3</v>
      </c>
      <c r="D21" s="1748"/>
    </row>
    <row r="22" spans="2:5" ht="13.5" thickBot="1" x14ac:dyDescent="0.25">
      <c r="B22" s="1764" t="s">
        <v>452</v>
      </c>
      <c r="C22" s="1765"/>
      <c r="D22" s="1766">
        <v>580</v>
      </c>
    </row>
    <row r="23" spans="2:5" ht="13.5" thickBot="1" x14ac:dyDescent="0.25"/>
    <row r="24" spans="2:5" ht="114" customHeight="1" thickBot="1" x14ac:dyDescent="0.25">
      <c r="B24" s="1958" t="s">
        <v>1597</v>
      </c>
      <c r="C24" s="1971"/>
      <c r="D24" s="1967"/>
      <c r="E24" s="1703" t="s">
        <v>1562</v>
      </c>
    </row>
    <row r="25" spans="2:5" s="1758" customFormat="1" ht="23.25" customHeight="1" thickBot="1" x14ac:dyDescent="0.25">
      <c r="B25" s="2023" t="s">
        <v>1565</v>
      </c>
      <c r="C25" s="2024"/>
      <c r="D25" s="2024"/>
      <c r="E25" s="2025"/>
    </row>
    <row r="26" spans="2:5" ht="39" thickBot="1" x14ac:dyDescent="0.25">
      <c r="B26" s="2032" t="s">
        <v>1571</v>
      </c>
      <c r="C26" s="2033"/>
      <c r="D26" s="2034"/>
      <c r="E26" s="586" t="s">
        <v>394</v>
      </c>
    </row>
    <row r="27" spans="2:5" x14ac:dyDescent="0.2">
      <c r="B27" s="2029" t="s">
        <v>1611</v>
      </c>
      <c r="C27" s="2030"/>
      <c r="D27" s="2031"/>
      <c r="E27" s="1723">
        <v>0.14299999999999999</v>
      </c>
    </row>
    <row r="28" spans="2:5" x14ac:dyDescent="0.2">
      <c r="B28" s="2042" t="s">
        <v>1612</v>
      </c>
      <c r="C28" s="2043"/>
      <c r="D28" s="2044"/>
      <c r="E28" s="1724">
        <v>0.124</v>
      </c>
    </row>
    <row r="29" spans="2:5" x14ac:dyDescent="0.2">
      <c r="B29" s="2026" t="s">
        <v>412</v>
      </c>
      <c r="C29" s="2027"/>
      <c r="D29" s="2028"/>
      <c r="E29" s="1724">
        <v>0.158</v>
      </c>
    </row>
    <row r="30" spans="2:5" x14ac:dyDescent="0.2">
      <c r="B30" s="2026" t="s">
        <v>413</v>
      </c>
      <c r="C30" s="2027"/>
      <c r="D30" s="2028"/>
      <c r="E30" s="1725">
        <v>0.36</v>
      </c>
    </row>
    <row r="31" spans="2:5" x14ac:dyDescent="0.2">
      <c r="B31" s="2026" t="s">
        <v>414</v>
      </c>
      <c r="C31" s="2027"/>
      <c r="D31" s="2028"/>
      <c r="E31" s="1726">
        <v>0.19600000000000001</v>
      </c>
    </row>
    <row r="32" spans="2:5" x14ac:dyDescent="0.2">
      <c r="B32" s="2026" t="s">
        <v>415</v>
      </c>
      <c r="C32" s="2027"/>
      <c r="D32" s="2028"/>
      <c r="E32" s="1726">
        <v>0.42</v>
      </c>
    </row>
    <row r="33" spans="2:5" x14ac:dyDescent="0.2">
      <c r="B33" s="2026" t="s">
        <v>416</v>
      </c>
      <c r="C33" s="2027"/>
      <c r="D33" s="2028"/>
      <c r="E33" s="1726">
        <v>0.247</v>
      </c>
    </row>
    <row r="34" spans="2:5" x14ac:dyDescent="0.2">
      <c r="B34" s="2026" t="s">
        <v>417</v>
      </c>
      <c r="C34" s="2027"/>
      <c r="D34" s="2028"/>
      <c r="E34" s="1726">
        <v>0.10199999999999999</v>
      </c>
    </row>
    <row r="35" spans="2:5" x14ac:dyDescent="0.2">
      <c r="B35" s="2026" t="s">
        <v>418</v>
      </c>
      <c r="C35" s="2027"/>
      <c r="D35" s="2028"/>
      <c r="E35" s="1726">
        <v>6.6000000000000003E-2</v>
      </c>
    </row>
    <row r="36" spans="2:5" x14ac:dyDescent="0.2">
      <c r="B36" s="2026" t="s">
        <v>419</v>
      </c>
      <c r="C36" s="2027"/>
      <c r="D36" s="2028"/>
      <c r="E36" s="1726">
        <v>0.14399999999999999</v>
      </c>
    </row>
    <row r="37" spans="2:5" x14ac:dyDescent="0.2">
      <c r="B37" s="2026" t="s">
        <v>420</v>
      </c>
      <c r="C37" s="2027"/>
      <c r="D37" s="2028"/>
      <c r="E37" s="1726">
        <v>0.47799999999999998</v>
      </c>
    </row>
    <row r="38" spans="2:5" x14ac:dyDescent="0.2">
      <c r="B38" s="2026" t="s">
        <v>421</v>
      </c>
      <c r="C38" s="2027"/>
      <c r="D38" s="2028"/>
      <c r="E38" s="1726">
        <v>0.316</v>
      </c>
    </row>
    <row r="39" spans="2:5" x14ac:dyDescent="0.2">
      <c r="B39" s="2026" t="s">
        <v>422</v>
      </c>
      <c r="C39" s="2027"/>
      <c r="D39" s="2028"/>
      <c r="E39" s="1726">
        <v>0.26700000000000002</v>
      </c>
    </row>
    <row r="40" spans="2:5" x14ac:dyDescent="0.2">
      <c r="B40" s="2026" t="s">
        <v>423</v>
      </c>
      <c r="C40" s="2027"/>
      <c r="D40" s="2028"/>
      <c r="E40" s="1726">
        <v>0.13100000000000001</v>
      </c>
    </row>
    <row r="41" spans="2:5" x14ac:dyDescent="0.2">
      <c r="B41" s="2026" t="s">
        <v>424</v>
      </c>
      <c r="C41" s="2027"/>
      <c r="D41" s="2028"/>
      <c r="E41" s="1726">
        <v>0.40300000000000002</v>
      </c>
    </row>
    <row r="42" spans="2:5" x14ac:dyDescent="0.2">
      <c r="B42" s="2026" t="s">
        <v>425</v>
      </c>
      <c r="C42" s="2027"/>
      <c r="D42" s="2028"/>
      <c r="E42" s="1726">
        <v>0.48899999999999999</v>
      </c>
    </row>
    <row r="43" spans="2:5" x14ac:dyDescent="0.2">
      <c r="B43" s="2026" t="s">
        <v>426</v>
      </c>
      <c r="C43" s="2027"/>
      <c r="D43" s="2028"/>
      <c r="E43" s="1726">
        <v>0.39400000000000002</v>
      </c>
    </row>
    <row r="44" spans="2:5" x14ac:dyDescent="0.2">
      <c r="B44" s="2026" t="s">
        <v>427</v>
      </c>
      <c r="C44" s="2027"/>
      <c r="D44" s="2028"/>
      <c r="E44" s="1726">
        <v>0.82099999999999995</v>
      </c>
    </row>
    <row r="45" spans="2:5" x14ac:dyDescent="0.2">
      <c r="B45" s="2026" t="s">
        <v>1553</v>
      </c>
      <c r="C45" s="2027"/>
      <c r="D45" s="2028"/>
      <c r="E45" s="1726">
        <v>0.502</v>
      </c>
    </row>
    <row r="46" spans="2:5" x14ac:dyDescent="0.2">
      <c r="B46" s="2026" t="s">
        <v>428</v>
      </c>
      <c r="C46" s="2027"/>
      <c r="D46" s="2028"/>
      <c r="E46" s="1726">
        <v>0.19400000000000001</v>
      </c>
    </row>
    <row r="47" spans="2:5" x14ac:dyDescent="0.2">
      <c r="B47" s="2026" t="s">
        <v>429</v>
      </c>
      <c r="C47" s="2027"/>
      <c r="D47" s="2028"/>
      <c r="E47" s="1726">
        <v>8.2000000000000003E-2</v>
      </c>
    </row>
    <row r="48" spans="2:5" x14ac:dyDescent="0.2">
      <c r="B48" s="2026" t="s">
        <v>430</v>
      </c>
      <c r="C48" s="2027"/>
      <c r="D48" s="2028"/>
      <c r="E48" s="1726">
        <v>0.501</v>
      </c>
    </row>
    <row r="49" spans="2:5" x14ac:dyDescent="0.2">
      <c r="B49" s="2026" t="s">
        <v>431</v>
      </c>
      <c r="C49" s="2027"/>
      <c r="D49" s="2028"/>
      <c r="E49" s="1726">
        <v>0.34200000000000003</v>
      </c>
    </row>
    <row r="50" spans="2:5" x14ac:dyDescent="0.2">
      <c r="B50" s="2026" t="s">
        <v>432</v>
      </c>
      <c r="C50" s="2027"/>
      <c r="D50" s="2028"/>
      <c r="E50" s="1726">
        <v>0.14199999999999999</v>
      </c>
    </row>
    <row r="51" spans="2:5" x14ac:dyDescent="0.2">
      <c r="B51" s="2026" t="s">
        <v>433</v>
      </c>
      <c r="C51" s="2027"/>
      <c r="D51" s="2028"/>
      <c r="E51" s="1726">
        <v>0.27200000000000002</v>
      </c>
    </row>
    <row r="52" spans="2:5" x14ac:dyDescent="0.2">
      <c r="B52" s="2026" t="s">
        <v>434</v>
      </c>
      <c r="C52" s="2027"/>
      <c r="D52" s="2028"/>
      <c r="E52" s="1726">
        <v>0.44</v>
      </c>
    </row>
    <row r="53" spans="2:5" x14ac:dyDescent="0.2">
      <c r="B53" s="2026" t="s">
        <v>435</v>
      </c>
      <c r="C53" s="2027"/>
      <c r="D53" s="2028"/>
      <c r="E53" s="1726">
        <v>0.29799999999999999</v>
      </c>
    </row>
    <row r="54" spans="2:5" x14ac:dyDescent="0.2">
      <c r="B54" s="2026" t="s">
        <v>436</v>
      </c>
      <c r="C54" s="2027"/>
      <c r="D54" s="2028"/>
      <c r="E54" s="1726">
        <v>4.5999999999999999E-2</v>
      </c>
    </row>
    <row r="55" spans="2:5" x14ac:dyDescent="0.2">
      <c r="B55" s="2026" t="s">
        <v>437</v>
      </c>
      <c r="C55" s="2027"/>
      <c r="D55" s="2028"/>
      <c r="E55" s="1726">
        <v>0.54300000000000004</v>
      </c>
    </row>
    <row r="56" spans="2:5" x14ac:dyDescent="0.2">
      <c r="B56" s="2026" t="s">
        <v>438</v>
      </c>
      <c r="C56" s="2027"/>
      <c r="D56" s="2028"/>
      <c r="E56" s="1726">
        <v>0.33200000000000002</v>
      </c>
    </row>
    <row r="57" spans="2:5" x14ac:dyDescent="0.2">
      <c r="B57" s="2026" t="s">
        <v>439</v>
      </c>
      <c r="C57" s="2027"/>
      <c r="D57" s="2028"/>
      <c r="E57" s="1726">
        <v>0.1</v>
      </c>
    </row>
    <row r="58" spans="2:5" x14ac:dyDescent="0.2">
      <c r="B58" s="2026" t="s">
        <v>1554</v>
      </c>
      <c r="C58" s="2027"/>
      <c r="D58" s="2028"/>
      <c r="E58" s="1726">
        <v>0.19900000000000001</v>
      </c>
    </row>
    <row r="59" spans="2:5" x14ac:dyDescent="0.2">
      <c r="B59" s="2026" t="s">
        <v>440</v>
      </c>
      <c r="C59" s="2027"/>
      <c r="D59" s="2028"/>
      <c r="E59" s="1726">
        <v>8.5999999999999993E-2</v>
      </c>
    </row>
    <row r="60" spans="2:5" x14ac:dyDescent="0.2">
      <c r="B60" s="2026" t="s">
        <v>441</v>
      </c>
      <c r="C60" s="2027"/>
      <c r="D60" s="2028"/>
      <c r="E60" s="1726">
        <v>8.5000000000000006E-2</v>
      </c>
    </row>
    <row r="61" spans="2:5" x14ac:dyDescent="0.2">
      <c r="B61" s="2026" t="s">
        <v>442</v>
      </c>
      <c r="C61" s="2027"/>
      <c r="D61" s="2028"/>
      <c r="E61" s="1726">
        <v>0.33300000000000002</v>
      </c>
    </row>
    <row r="62" spans="2:5" x14ac:dyDescent="0.2">
      <c r="B62" s="2026" t="s">
        <v>443</v>
      </c>
      <c r="C62" s="2027"/>
      <c r="D62" s="2028"/>
      <c r="E62" s="1726">
        <v>0.85799999999999998</v>
      </c>
    </row>
    <row r="63" spans="2:5" x14ac:dyDescent="0.2">
      <c r="B63" s="2026" t="s">
        <v>444</v>
      </c>
      <c r="C63" s="2027"/>
      <c r="D63" s="2028"/>
      <c r="E63" s="1726">
        <v>0.45400000000000001</v>
      </c>
    </row>
    <row r="64" spans="2:5" x14ac:dyDescent="0.2">
      <c r="B64" s="2026" t="s">
        <v>1555</v>
      </c>
      <c r="C64" s="2027"/>
      <c r="D64" s="2028"/>
      <c r="E64" s="1726">
        <v>9.1999999999999998E-2</v>
      </c>
    </row>
    <row r="65" spans="2:5" x14ac:dyDescent="0.2">
      <c r="B65" s="2026" t="s">
        <v>445</v>
      </c>
      <c r="C65" s="2027"/>
      <c r="D65" s="2028"/>
      <c r="E65" s="1726">
        <v>0.48299999999999998</v>
      </c>
    </row>
    <row r="66" spans="2:5" x14ac:dyDescent="0.2">
      <c r="B66" s="2026" t="s">
        <v>446</v>
      </c>
      <c r="C66" s="2027"/>
      <c r="D66" s="2028"/>
      <c r="E66" s="1726">
        <v>0.36399999999999999</v>
      </c>
    </row>
    <row r="67" spans="2:5" x14ac:dyDescent="0.2">
      <c r="B67" s="2026" t="s">
        <v>447</v>
      </c>
      <c r="C67" s="2027"/>
      <c r="D67" s="2028"/>
      <c r="E67" s="1726">
        <v>0.105</v>
      </c>
    </row>
    <row r="68" spans="2:5" x14ac:dyDescent="0.2">
      <c r="B68" s="2026" t="s">
        <v>448</v>
      </c>
      <c r="C68" s="2027"/>
      <c r="D68" s="2028"/>
      <c r="E68" s="1726">
        <v>0.504</v>
      </c>
    </row>
    <row r="69" spans="2:5" ht="13.5" thickBot="1" x14ac:dyDescent="0.25">
      <c r="B69" s="2016" t="s">
        <v>449</v>
      </c>
      <c r="C69" s="2017"/>
      <c r="D69" s="2018"/>
      <c r="E69" s="1727">
        <v>0.435</v>
      </c>
    </row>
    <row r="70" spans="2:5" ht="13.5" thickBot="1" x14ac:dyDescent="0.25">
      <c r="B70" s="1792"/>
      <c r="C70" s="1792"/>
      <c r="D70" s="1792"/>
      <c r="E70" s="1793"/>
    </row>
    <row r="71" spans="2:5" ht="93.75" customHeight="1" thickBot="1" x14ac:dyDescent="0.25">
      <c r="B71" s="1958" t="s">
        <v>1698</v>
      </c>
      <c r="C71" s="1971"/>
      <c r="D71" s="1967"/>
      <c r="E71" s="1703" t="s">
        <v>1699</v>
      </c>
    </row>
    <row r="72" spans="2:5" ht="25.5" customHeight="1" thickBot="1" x14ac:dyDescent="0.25">
      <c r="B72" s="2023" t="s">
        <v>1700</v>
      </c>
      <c r="C72" s="2025"/>
      <c r="D72" s="1927"/>
      <c r="E72" s="1274"/>
    </row>
    <row r="73" spans="2:5" ht="25.5" x14ac:dyDescent="0.2">
      <c r="B73" s="1763"/>
      <c r="C73" s="822" t="s">
        <v>1701</v>
      </c>
      <c r="D73" s="1792"/>
      <c r="E73" s="1793"/>
    </row>
    <row r="74" spans="2:5" ht="13.5" thickBot="1" x14ac:dyDescent="0.25">
      <c r="B74" s="1928" t="s">
        <v>1702</v>
      </c>
      <c r="C74" s="1929">
        <v>0.12</v>
      </c>
      <c r="D74" s="1792"/>
      <c r="E74" s="1793"/>
    </row>
    <row r="75" spans="2:5" ht="13.5" thickBot="1" x14ac:dyDescent="0.25">
      <c r="B75" s="1792"/>
      <c r="C75" s="1792"/>
      <c r="D75" s="1792"/>
      <c r="E75" s="1793"/>
    </row>
    <row r="76" spans="2:5" ht="159" customHeight="1" thickBot="1" x14ac:dyDescent="0.25">
      <c r="B76" s="1958" t="s">
        <v>1674</v>
      </c>
      <c r="C76" s="1971"/>
      <c r="D76" s="1967"/>
      <c r="E76" s="1703" t="s">
        <v>1629</v>
      </c>
    </row>
    <row r="77" spans="2:5" ht="22.5" customHeight="1" thickBot="1" x14ac:dyDescent="0.25">
      <c r="B77" s="2023" t="s">
        <v>1628</v>
      </c>
      <c r="C77" s="2025"/>
      <c r="D77"/>
      <c r="E77" s="1793"/>
    </row>
    <row r="78" spans="2:5" ht="14.25" customHeight="1" x14ac:dyDescent="0.2">
      <c r="B78" s="151" t="s">
        <v>28</v>
      </c>
      <c r="C78" s="1818" t="s">
        <v>29</v>
      </c>
      <c r="D78" s="1793"/>
    </row>
    <row r="79" spans="2:5" ht="13.5" thickBot="1" x14ac:dyDescent="0.25">
      <c r="B79" s="1753">
        <v>28</v>
      </c>
      <c r="C79" s="1819">
        <v>265</v>
      </c>
      <c r="D79" s="1793"/>
    </row>
    <row r="80" spans="2:5" ht="13.5" thickBot="1" x14ac:dyDescent="0.25">
      <c r="B80" s="1792"/>
      <c r="C80" s="1792"/>
      <c r="D80" s="1792"/>
      <c r="E80" s="1793"/>
    </row>
    <row r="81" spans="2:6" ht="78.75" customHeight="1" thickBot="1" x14ac:dyDescent="0.25">
      <c r="B81" s="1958" t="s">
        <v>1677</v>
      </c>
      <c r="C81" s="1971"/>
      <c r="D81" s="1967"/>
      <c r="E81" s="1703" t="s">
        <v>1625</v>
      </c>
    </row>
    <row r="82" spans="2:6" ht="26.25" customHeight="1" thickBot="1" x14ac:dyDescent="0.25">
      <c r="B82" s="2023" t="s">
        <v>1627</v>
      </c>
      <c r="C82" s="2024"/>
      <c r="D82" s="2024"/>
      <c r="E82" s="2024"/>
      <c r="F82" s="2025"/>
    </row>
    <row r="83" spans="2:6" x14ac:dyDescent="0.2">
      <c r="B83" s="106" t="s">
        <v>73</v>
      </c>
      <c r="C83" s="353" t="s">
        <v>401</v>
      </c>
      <c r="D83" s="352" t="s">
        <v>400</v>
      </c>
      <c r="E83" s="352" t="s">
        <v>402</v>
      </c>
      <c r="F83" s="107" t="s">
        <v>4</v>
      </c>
    </row>
    <row r="84" spans="2:6" x14ac:dyDescent="0.2">
      <c r="B84" s="1794" t="s">
        <v>8</v>
      </c>
      <c r="C84" s="1809">
        <v>5.0420011200000006E-7</v>
      </c>
      <c r="D84" s="1810">
        <v>1.020648E-2</v>
      </c>
      <c r="E84" s="1809">
        <v>3.60288744E-7</v>
      </c>
      <c r="F84" s="1795" t="s">
        <v>64</v>
      </c>
    </row>
    <row r="85" spans="2:6" x14ac:dyDescent="0.2">
      <c r="B85" s="882" t="s">
        <v>9</v>
      </c>
      <c r="C85" s="1811">
        <v>4.3348500000000002E-7</v>
      </c>
      <c r="D85" s="1812">
        <v>8.7749999999999998E-3</v>
      </c>
      <c r="E85" s="1811">
        <v>3.0975749999999997E-7</v>
      </c>
      <c r="F85" s="883" t="s">
        <v>64</v>
      </c>
    </row>
    <row r="86" spans="2:6" ht="13.5" thickBot="1" x14ac:dyDescent="0.25">
      <c r="B86" s="1796" t="s">
        <v>70</v>
      </c>
      <c r="C86" s="1151"/>
      <c r="D86" s="1813">
        <f>0.054</f>
        <v>5.3999999999999999E-2</v>
      </c>
      <c r="E86" s="1151"/>
      <c r="F86" s="1797" t="s">
        <v>1626</v>
      </c>
    </row>
    <row r="87" spans="2:6" ht="13.5" thickBot="1" x14ac:dyDescent="0.25"/>
    <row r="88" spans="2:6" ht="42" customHeight="1" thickBot="1" x14ac:dyDescent="0.25">
      <c r="B88" s="1972" t="s">
        <v>1566</v>
      </c>
      <c r="C88" s="1973"/>
      <c r="D88" s="1973"/>
      <c r="E88" s="1966"/>
    </row>
    <row r="89" spans="2:6" ht="13.5" thickBot="1" x14ac:dyDescent="0.25"/>
    <row r="90" spans="2:6" ht="132" customHeight="1" thickBot="1" x14ac:dyDescent="0.25">
      <c r="B90" s="1958" t="s">
        <v>1598</v>
      </c>
      <c r="C90" s="1971"/>
      <c r="D90" s="1967"/>
      <c r="E90" s="1703" t="s">
        <v>1567</v>
      </c>
    </row>
    <row r="91" spans="2:6" ht="22.5" customHeight="1" thickBot="1" x14ac:dyDescent="0.25">
      <c r="B91" s="2023" t="s">
        <v>1568</v>
      </c>
      <c r="C91" s="2024"/>
      <c r="D91" s="2024"/>
      <c r="E91" s="2025"/>
    </row>
    <row r="92" spans="2:6" ht="25.5" customHeight="1" x14ac:dyDescent="0.2">
      <c r="B92" s="1694" t="s">
        <v>529</v>
      </c>
      <c r="C92" s="2019" t="s">
        <v>242</v>
      </c>
      <c r="D92" s="2020"/>
      <c r="E92" s="1696" t="s">
        <v>240</v>
      </c>
    </row>
    <row r="93" spans="2:6" ht="13.5" thickBot="1" x14ac:dyDescent="0.25">
      <c r="B93" s="1728">
        <v>56768677</v>
      </c>
      <c r="C93" s="2021">
        <v>1049368</v>
      </c>
      <c r="D93" s="2022"/>
      <c r="E93" s="1729">
        <v>2856642</v>
      </c>
    </row>
    <row r="94" spans="2:6" ht="13.5" thickBot="1" x14ac:dyDescent="0.25"/>
    <row r="95" spans="2:6" ht="42" customHeight="1" thickBot="1" x14ac:dyDescent="0.25">
      <c r="B95" s="1972" t="s">
        <v>1569</v>
      </c>
      <c r="C95" s="1973"/>
      <c r="D95" s="1973"/>
      <c r="E95" s="1966"/>
    </row>
    <row r="96" spans="2:6" ht="13.5" thickBot="1" x14ac:dyDescent="0.25"/>
    <row r="97" spans="2:5" ht="77.25" customHeight="1" thickBot="1" x14ac:dyDescent="0.25">
      <c r="B97" s="1958" t="s">
        <v>1671</v>
      </c>
      <c r="C97" s="1971"/>
      <c r="D97" s="1967"/>
      <c r="E97" s="1703" t="s">
        <v>1578</v>
      </c>
    </row>
    <row r="98" spans="2:5" ht="24.75" customHeight="1" thickBot="1" x14ac:dyDescent="0.25">
      <c r="B98" s="2023" t="s">
        <v>1579</v>
      </c>
      <c r="C98" s="2024"/>
      <c r="D98" s="2025"/>
    </row>
    <row r="99" spans="2:5" ht="25.5" x14ac:dyDescent="0.2">
      <c r="B99" s="1694" t="s">
        <v>76</v>
      </c>
      <c r="C99" s="1695" t="s">
        <v>77</v>
      </c>
      <c r="D99" s="1696" t="s">
        <v>366</v>
      </c>
    </row>
    <row r="100" spans="2:5" x14ac:dyDescent="0.2">
      <c r="B100" s="1749" t="s">
        <v>78</v>
      </c>
      <c r="C100" s="1750" t="s">
        <v>79</v>
      </c>
      <c r="D100" s="1751">
        <v>0.3</v>
      </c>
    </row>
    <row r="101" spans="2:5" x14ac:dyDescent="0.2">
      <c r="B101" s="1749" t="s">
        <v>963</v>
      </c>
      <c r="C101" s="1750" t="s">
        <v>964</v>
      </c>
      <c r="D101" s="1752">
        <v>0.28000000000000003</v>
      </c>
    </row>
    <row r="102" spans="2:5" x14ac:dyDescent="0.2">
      <c r="B102" s="1749" t="s">
        <v>80</v>
      </c>
      <c r="C102" s="1750" t="s">
        <v>81</v>
      </c>
      <c r="D102" s="1752">
        <v>0.31</v>
      </c>
    </row>
    <row r="103" spans="2:5" x14ac:dyDescent="0.2">
      <c r="B103" s="1749" t="s">
        <v>83</v>
      </c>
      <c r="C103" s="1750" t="s">
        <v>965</v>
      </c>
      <c r="D103" s="1752">
        <v>0.25</v>
      </c>
    </row>
    <row r="104" spans="2:5" x14ac:dyDescent="0.2">
      <c r="B104" s="1749" t="s">
        <v>966</v>
      </c>
      <c r="C104" s="1750" t="s">
        <v>967</v>
      </c>
      <c r="D104" s="1752">
        <v>0.39</v>
      </c>
    </row>
    <row r="105" spans="2:5" x14ac:dyDescent="0.2">
      <c r="B105" s="1749" t="s">
        <v>966</v>
      </c>
      <c r="C105" s="1750" t="s">
        <v>968</v>
      </c>
      <c r="D105" s="1752">
        <v>0.28999999999999998</v>
      </c>
    </row>
    <row r="106" spans="2:5" ht="13.5" thickBot="1" x14ac:dyDescent="0.25">
      <c r="B106" s="1753" t="s">
        <v>966</v>
      </c>
      <c r="C106" s="1754" t="s">
        <v>969</v>
      </c>
      <c r="D106" s="1755">
        <v>0.35</v>
      </c>
    </row>
    <row r="107" spans="2:5" ht="13.5" thickBot="1" x14ac:dyDescent="0.25"/>
    <row r="108" spans="2:5" ht="36.75" customHeight="1" thickBot="1" x14ac:dyDescent="0.25">
      <c r="B108" s="1972" t="s">
        <v>1570</v>
      </c>
      <c r="C108" s="1973"/>
      <c r="D108" s="1973"/>
      <c r="E108" s="1966"/>
    </row>
    <row r="109" spans="2:5" ht="13.5" thickBot="1" x14ac:dyDescent="0.25"/>
    <row r="110" spans="2:5" ht="108" customHeight="1" thickBot="1" x14ac:dyDescent="0.25">
      <c r="B110" s="1958" t="s">
        <v>1604</v>
      </c>
      <c r="C110" s="1971"/>
      <c r="D110" s="1967"/>
      <c r="E110" s="1703" t="s">
        <v>1572</v>
      </c>
    </row>
    <row r="111" spans="2:5" ht="24" customHeight="1" thickBot="1" x14ac:dyDescent="0.25">
      <c r="B111" s="2023" t="s">
        <v>1577</v>
      </c>
      <c r="C111" s="2025"/>
    </row>
    <row r="112" spans="2:5" ht="26.25" thickBot="1" x14ac:dyDescent="0.25">
      <c r="B112" s="1693" t="s">
        <v>139</v>
      </c>
      <c r="C112" s="1697" t="s">
        <v>373</v>
      </c>
    </row>
    <row r="113" spans="2:5" x14ac:dyDescent="0.2">
      <c r="B113" s="1730" t="s">
        <v>1599</v>
      </c>
      <c r="C113" s="1735">
        <v>1140000</v>
      </c>
    </row>
    <row r="114" spans="2:5" x14ac:dyDescent="0.2">
      <c r="B114" s="1731" t="s">
        <v>1600</v>
      </c>
      <c r="C114" s="1736">
        <v>70000</v>
      </c>
    </row>
    <row r="115" spans="2:5" x14ac:dyDescent="0.2">
      <c r="B115" s="1732" t="s">
        <v>1601</v>
      </c>
      <c r="C115" s="1737">
        <v>110000</v>
      </c>
    </row>
    <row r="116" spans="2:5" x14ac:dyDescent="0.2">
      <c r="B116" s="1733" t="s">
        <v>1602</v>
      </c>
      <c r="C116" s="1738">
        <v>3140000</v>
      </c>
    </row>
    <row r="117" spans="2:5" ht="13.5" thickBot="1" x14ac:dyDescent="0.25">
      <c r="B117" s="1734" t="s">
        <v>1603</v>
      </c>
      <c r="C117" s="1739">
        <v>30000</v>
      </c>
    </row>
    <row r="118" spans="2:5" ht="13.5" thickBot="1" x14ac:dyDescent="0.25"/>
    <row r="119" spans="2:5" ht="94.5" customHeight="1" thickBot="1" x14ac:dyDescent="0.25">
      <c r="B119" s="1958" t="s">
        <v>1672</v>
      </c>
      <c r="C119" s="1971"/>
      <c r="D119" s="1967"/>
      <c r="E119" s="1703" t="s">
        <v>1573</v>
      </c>
    </row>
    <row r="120" spans="2:5" ht="26.25" customHeight="1" thickBot="1" x14ac:dyDescent="0.25">
      <c r="B120" s="2035" t="s">
        <v>1576</v>
      </c>
      <c r="C120" s="2036"/>
      <c r="D120" s="2037"/>
    </row>
    <row r="121" spans="2:5" ht="25.5" customHeight="1" x14ac:dyDescent="0.2">
      <c r="B121" s="2040" t="s">
        <v>110</v>
      </c>
      <c r="C121" s="2041"/>
      <c r="D121" s="1757" t="s">
        <v>1574</v>
      </c>
    </row>
    <row r="122" spans="2:5" ht="13.5" thickBot="1" x14ac:dyDescent="0.25">
      <c r="B122" s="2038" t="s">
        <v>1575</v>
      </c>
      <c r="C122" s="2039"/>
      <c r="D122" s="1756">
        <v>34.1</v>
      </c>
    </row>
    <row r="123" spans="2:5" ht="13.5" thickBot="1" x14ac:dyDescent="0.25"/>
    <row r="124" spans="2:5" ht="169.5" customHeight="1" thickBot="1" x14ac:dyDescent="0.25">
      <c r="B124" s="1958" t="s">
        <v>1673</v>
      </c>
      <c r="C124" s="1971"/>
      <c r="D124" s="1967"/>
      <c r="E124" s="1703" t="s">
        <v>1580</v>
      </c>
    </row>
    <row r="125" spans="2:5" ht="24.75" customHeight="1" thickBot="1" x14ac:dyDescent="0.25">
      <c r="B125" s="2035" t="s">
        <v>1581</v>
      </c>
      <c r="C125" s="2037"/>
    </row>
    <row r="126" spans="2:5" x14ac:dyDescent="0.2">
      <c r="B126" s="1690" t="s">
        <v>1172</v>
      </c>
      <c r="C126" s="145" t="s">
        <v>169</v>
      </c>
    </row>
    <row r="127" spans="2:5" ht="25.5" x14ac:dyDescent="0.2">
      <c r="B127" s="1743" t="s">
        <v>1165</v>
      </c>
      <c r="C127" s="1740">
        <v>0.34263796246875</v>
      </c>
    </row>
    <row r="128" spans="2:5" ht="25.5" x14ac:dyDescent="0.2">
      <c r="B128" s="1743" t="s">
        <v>1167</v>
      </c>
      <c r="C128" s="1741">
        <v>9.1918348309846951E-2</v>
      </c>
    </row>
    <row r="129" spans="2:3" ht="25.5" x14ac:dyDescent="0.2">
      <c r="B129" s="1744" t="s">
        <v>1164</v>
      </c>
      <c r="C129" s="1742">
        <v>4279130</v>
      </c>
    </row>
  </sheetData>
  <mergeCells count="76">
    <mergeCell ref="B44:D44"/>
    <mergeCell ref="B45:D45"/>
    <mergeCell ref="B46:D46"/>
    <mergeCell ref="B47:D47"/>
    <mergeCell ref="B17:D17"/>
    <mergeCell ref="B28:D28"/>
    <mergeCell ref="B41:D41"/>
    <mergeCell ref="B36:D36"/>
    <mergeCell ref="B37:D37"/>
    <mergeCell ref="B38:D38"/>
    <mergeCell ref="B39:D39"/>
    <mergeCell ref="B40:D40"/>
    <mergeCell ref="B31:D31"/>
    <mergeCell ref="B32:D32"/>
    <mergeCell ref="B33:D33"/>
    <mergeCell ref="B34:D34"/>
    <mergeCell ref="B124:D124"/>
    <mergeCell ref="B120:D120"/>
    <mergeCell ref="B125:C125"/>
    <mergeCell ref="B108:E108"/>
    <mergeCell ref="B98:D98"/>
    <mergeCell ref="B122:C122"/>
    <mergeCell ref="B121:C121"/>
    <mergeCell ref="B111:C111"/>
    <mergeCell ref="B110:D110"/>
    <mergeCell ref="B119:D119"/>
    <mergeCell ref="B97:D97"/>
    <mergeCell ref="B90:D90"/>
    <mergeCell ref="B95:E95"/>
    <mergeCell ref="B42:D42"/>
    <mergeCell ref="B43:D43"/>
    <mergeCell ref="B48:D48"/>
    <mergeCell ref="B49:D49"/>
    <mergeCell ref="B50:D50"/>
    <mergeCell ref="B51:D51"/>
    <mergeCell ref="B52:D52"/>
    <mergeCell ref="B53:D53"/>
    <mergeCell ref="B54:D54"/>
    <mergeCell ref="B55:D55"/>
    <mergeCell ref="B56:D56"/>
    <mergeCell ref="B57:D57"/>
    <mergeCell ref="B58:D58"/>
    <mergeCell ref="B35:D35"/>
    <mergeCell ref="B2:E2"/>
    <mergeCell ref="B4:E4"/>
    <mergeCell ref="B27:D27"/>
    <mergeCell ref="B29:D29"/>
    <mergeCell ref="B30:D30"/>
    <mergeCell ref="B24:D24"/>
    <mergeCell ref="B16:D16"/>
    <mergeCell ref="B8:E8"/>
    <mergeCell ref="B26:D26"/>
    <mergeCell ref="B25:E25"/>
    <mergeCell ref="B10:D10"/>
    <mergeCell ref="B11:F11"/>
    <mergeCell ref="B59:D59"/>
    <mergeCell ref="B60:D60"/>
    <mergeCell ref="B61:D61"/>
    <mergeCell ref="B62:D62"/>
    <mergeCell ref="B63:D63"/>
    <mergeCell ref="B64:D64"/>
    <mergeCell ref="B65:D65"/>
    <mergeCell ref="B66:D66"/>
    <mergeCell ref="B67:D67"/>
    <mergeCell ref="B68:D68"/>
    <mergeCell ref="B69:D69"/>
    <mergeCell ref="C92:D92"/>
    <mergeCell ref="C93:D93"/>
    <mergeCell ref="B91:E91"/>
    <mergeCell ref="B88:E88"/>
    <mergeCell ref="B81:D81"/>
    <mergeCell ref="B82:F82"/>
    <mergeCell ref="B76:D76"/>
    <mergeCell ref="B77:C77"/>
    <mergeCell ref="B71:D71"/>
    <mergeCell ref="B72:C72"/>
  </mergeCells>
  <hyperlinks>
    <hyperlink ref="E16" r:id="rId1" xr:uid="{00000000-0004-0000-0200-000000000000}"/>
    <hyperlink ref="E24" r:id="rId2" xr:uid="{00000000-0004-0000-0200-000001000000}"/>
    <hyperlink ref="E90" r:id="rId3" xr:uid="{00000000-0004-0000-0200-000002000000}"/>
    <hyperlink ref="E110" r:id="rId4" location="-solid-waste-data-updates-" xr:uid="{00000000-0004-0000-0200-000003000000}"/>
    <hyperlink ref="E119" r:id="rId5" xr:uid="{00000000-0004-0000-0200-000004000000}"/>
    <hyperlink ref="E124" r:id="rId6" xr:uid="{00000000-0004-0000-0200-000005000000}"/>
    <hyperlink ref="E97" r:id="rId7" xr:uid="{00000000-0004-0000-0200-000006000000}"/>
    <hyperlink ref="B25:E25" location="'Emission Factors'!A50" display="Inputs for Emissions Factors - Table 6 and Table 9" xr:uid="{00000000-0004-0000-0200-000007000000}"/>
    <hyperlink ref="B91:E91" location="'Stationary Energy - Buildings'!A203" display="Inputs for Stationary Energy - Buildings - Table 7" xr:uid="{00000000-0004-0000-0200-000008000000}"/>
    <hyperlink ref="B98:D98" location="'Transportation - On Road'!A57" display="Inputs for Transportation - Onroad - Table 6" xr:uid="{00000000-0004-0000-0200-000009000000}"/>
    <hyperlink ref="B111:C111" location="'Waste-Solid Waste Disposal'!A23" display="Inputs for Waste - Solid Waste - Table 3" xr:uid="{00000000-0004-0000-0200-00000A000000}"/>
    <hyperlink ref="B120:D120" location="'Waste-Wastewater'!A22" display="Inputs for Waste - Wastewater - Table 3" xr:uid="{00000000-0004-0000-0200-00000B000000}"/>
    <hyperlink ref="B125:C125" location="'Waste-Wastewater'!A58" display="Inputs for Waste - Wastewater - Table 4" xr:uid="{00000000-0004-0000-0200-00000C000000}"/>
    <hyperlink ref="E10" r:id="rId8" xr:uid="{00000000-0004-0000-0200-00000D000000}"/>
    <hyperlink ref="F10" r:id="rId9" xr:uid="{00000000-0004-0000-0200-00000E000000}"/>
    <hyperlink ref="B11:F11" location="'Emission Factors'!A1" display="Inputs for Emissions Factors - Table 1" xr:uid="{00000000-0004-0000-0200-00000F000000}"/>
    <hyperlink ref="E81" r:id="rId10" xr:uid="{00000000-0004-0000-0200-000010000000}"/>
    <hyperlink ref="B82:F82" location="'Emission Factors'!A128" display="Inputs for Emissions Factors - Table 12" xr:uid="{00000000-0004-0000-0200-000011000000}"/>
    <hyperlink ref="E76" r:id="rId11" xr:uid="{00000000-0004-0000-0200-000012000000}"/>
    <hyperlink ref="B77:C77" location="'Emission Factors'!A124" display="Inputs for Emissions Factors - Table 11" xr:uid="{00000000-0004-0000-0200-000013000000}"/>
    <hyperlink ref="E71" r:id="rId12" xr:uid="{31CA9E15-5571-4CDF-9DDB-40A1179F8AEB}"/>
    <hyperlink ref="B72:C72" location="'Emission Factors'!A55" display="Inputs for Emissions Factors - Table 7" xr:uid="{B4B54667-A6D9-41EF-B472-DBFFA9F817E1}"/>
  </hyperlinks>
  <pageMargins left="0.7" right="0.7" top="0.75" bottom="0.75" header="0.3" footer="0.3"/>
  <pageSetup orientation="portrait" verticalDpi="0"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X154"/>
  <sheetViews>
    <sheetView showGridLines="0" topLeftCell="A124" zoomScale="85" zoomScaleNormal="85" workbookViewId="0">
      <selection activeCell="C145" sqref="C145"/>
    </sheetView>
  </sheetViews>
  <sheetFormatPr defaultRowHeight="12.75" x14ac:dyDescent="0.2"/>
  <cols>
    <col min="1" max="1" width="2.7109375" style="33" customWidth="1"/>
    <col min="2" max="2" width="36.42578125" style="33" customWidth="1"/>
    <col min="3" max="3" width="37.5703125" style="33" customWidth="1"/>
    <col min="4" max="4" width="30" style="33" customWidth="1"/>
    <col min="5" max="7" width="20.7109375" style="33" customWidth="1"/>
    <col min="8" max="8" width="20.7109375" style="31" customWidth="1"/>
    <col min="9" max="9" width="34.42578125" style="31" customWidth="1"/>
    <col min="10" max="10" width="20.7109375" style="31" customWidth="1"/>
    <col min="11" max="13" width="12" style="31" customWidth="1"/>
    <col min="14" max="14" width="19" style="31" customWidth="1"/>
    <col min="15" max="15" width="11.7109375" style="31" customWidth="1"/>
    <col min="16" max="16" width="11.28515625" style="31" customWidth="1"/>
    <col min="17" max="17" width="13.42578125" style="31" customWidth="1"/>
    <col min="18" max="18" width="14.85546875" style="31" customWidth="1"/>
    <col min="19" max="20" width="10.5703125" style="31" customWidth="1"/>
    <col min="21" max="21" width="10.42578125" style="31" customWidth="1"/>
    <col min="22" max="22" width="9.28515625" style="31" bestFit="1" customWidth="1"/>
    <col min="23" max="23" width="17.7109375" style="31" customWidth="1"/>
    <col min="24" max="24" width="11.42578125" style="32" customWidth="1"/>
    <col min="25" max="25" width="9.28515625" style="33" bestFit="1" customWidth="1"/>
    <col min="26" max="26" width="18.7109375" style="33" customWidth="1"/>
    <col min="27" max="16384" width="9.140625" style="33"/>
  </cols>
  <sheetData>
    <row r="1" spans="1:24" ht="13.5" thickBot="1" x14ac:dyDescent="0.25"/>
    <row r="2" spans="1:24" ht="24" customHeight="1" thickBot="1" x14ac:dyDescent="0.25">
      <c r="A2" s="227"/>
      <c r="B2" s="2074" t="s">
        <v>105</v>
      </c>
      <c r="C2" s="2075"/>
      <c r="D2" s="2075"/>
      <c r="E2" s="2075"/>
      <c r="F2" s="2076"/>
      <c r="G2" s="228"/>
      <c r="H2" s="290"/>
      <c r="K2" s="228"/>
    </row>
    <row r="3" spans="1:24" ht="15" x14ac:dyDescent="0.25">
      <c r="A3" s="227"/>
      <c r="B3" s="224" t="s">
        <v>247</v>
      </c>
      <c r="C3" s="2077" t="s">
        <v>256</v>
      </c>
      <c r="D3" s="2078"/>
      <c r="E3" s="2078"/>
      <c r="F3" s="2079"/>
      <c r="G3" s="229"/>
      <c r="H3" s="229"/>
      <c r="I3" s="229"/>
      <c r="J3" s="228"/>
      <c r="K3" s="228"/>
    </row>
    <row r="4" spans="1:24" ht="15" x14ac:dyDescent="0.25">
      <c r="A4" s="227"/>
      <c r="B4" s="1537" t="s">
        <v>248</v>
      </c>
      <c r="C4" s="2080" t="s">
        <v>205</v>
      </c>
      <c r="D4" s="2081"/>
      <c r="E4" s="2081"/>
      <c r="F4" s="2082"/>
      <c r="G4" s="229"/>
      <c r="H4" s="229"/>
      <c r="I4" s="229"/>
      <c r="J4" s="228"/>
      <c r="K4" s="228"/>
    </row>
    <row r="5" spans="1:24" ht="14.25" customHeight="1" thickBot="1" x14ac:dyDescent="0.3">
      <c r="A5" s="227"/>
      <c r="B5" s="1538" t="s">
        <v>1402</v>
      </c>
      <c r="C5" s="2104">
        <f>Inputs!C14</f>
        <v>2017</v>
      </c>
      <c r="D5" s="2105"/>
      <c r="E5" s="2105"/>
      <c r="F5" s="2106"/>
      <c r="G5" s="229"/>
      <c r="H5" s="229"/>
      <c r="I5" s="229"/>
      <c r="J5" s="228"/>
      <c r="K5" s="228"/>
    </row>
    <row r="6" spans="1:24" ht="12" customHeight="1" thickBot="1" x14ac:dyDescent="0.3">
      <c r="A6" s="227"/>
      <c r="B6" s="226"/>
      <c r="C6" s="230"/>
      <c r="D6" s="230"/>
      <c r="E6" s="230"/>
      <c r="F6" s="230"/>
      <c r="G6" s="229"/>
      <c r="H6" s="229"/>
      <c r="I6" s="229"/>
      <c r="J6" s="228"/>
      <c r="K6" s="228"/>
    </row>
    <row r="7" spans="1:24" ht="15.75" thickBot="1" x14ac:dyDescent="0.3">
      <c r="A7" s="227"/>
      <c r="B7" s="2101" t="s">
        <v>91</v>
      </c>
      <c r="C7" s="2102"/>
      <c r="D7" s="2102"/>
      <c r="E7" s="2102"/>
      <c r="F7" s="2103"/>
      <c r="G7" s="229"/>
      <c r="H7" s="229"/>
      <c r="I7" s="229"/>
      <c r="J7" s="228"/>
      <c r="K7" s="228"/>
    </row>
    <row r="8" spans="1:24" ht="44.25" customHeight="1" thickBot="1" x14ac:dyDescent="0.25">
      <c r="A8" s="227"/>
      <c r="B8" s="2093" t="s">
        <v>1387</v>
      </c>
      <c r="C8" s="2094"/>
      <c r="D8" s="2094"/>
      <c r="E8" s="2094"/>
      <c r="F8" s="2095"/>
      <c r="G8" s="85"/>
      <c r="H8" s="85"/>
      <c r="I8" s="85"/>
      <c r="J8" s="228"/>
      <c r="K8" s="228"/>
    </row>
    <row r="9" spans="1:24" ht="15" thickBot="1" x14ac:dyDescent="0.25">
      <c r="A9" s="227"/>
      <c r="B9" s="85"/>
      <c r="C9" s="85"/>
      <c r="D9" s="85"/>
      <c r="E9" s="85"/>
      <c r="F9" s="228"/>
      <c r="G9" s="85"/>
      <c r="H9" s="85"/>
      <c r="I9" s="85"/>
      <c r="J9" s="228"/>
      <c r="K9" s="228"/>
      <c r="N9" s="299"/>
    </row>
    <row r="10" spans="1:24" ht="15.75" customHeight="1" thickBot="1" x14ac:dyDescent="0.3">
      <c r="A10" s="227"/>
      <c r="B10" s="2096" t="s">
        <v>1496</v>
      </c>
      <c r="C10" s="2097"/>
      <c r="D10" s="2097"/>
      <c r="E10" s="2097"/>
      <c r="F10" s="2097"/>
      <c r="G10" s="2098"/>
      <c r="H10" s="231"/>
      <c r="I10" s="231"/>
      <c r="J10" s="231"/>
      <c r="K10" s="34"/>
      <c r="L10" s="34"/>
      <c r="N10" s="299"/>
      <c r="W10" s="32"/>
      <c r="X10" s="33"/>
    </row>
    <row r="11" spans="1:24" ht="26.25" thickBot="1" x14ac:dyDescent="0.25">
      <c r="A11" s="227"/>
      <c r="B11" s="2099" t="s">
        <v>0</v>
      </c>
      <c r="C11" s="2100"/>
      <c r="D11" s="239" t="s">
        <v>234</v>
      </c>
      <c r="E11" s="239" t="s">
        <v>235</v>
      </c>
      <c r="F11" s="239" t="s">
        <v>236</v>
      </c>
      <c r="G11" s="240" t="s">
        <v>237</v>
      </c>
      <c r="H11" s="231"/>
      <c r="I11" s="231"/>
      <c r="J11" s="34"/>
      <c r="K11" s="34"/>
      <c r="N11" s="299"/>
      <c r="V11" s="32"/>
      <c r="W11" s="33"/>
      <c r="X11" s="33"/>
    </row>
    <row r="12" spans="1:24" ht="14.25" x14ac:dyDescent="0.2">
      <c r="A12" s="227"/>
      <c r="B12" s="2085" t="s">
        <v>195</v>
      </c>
      <c r="C12" s="2086"/>
      <c r="D12" s="1874" t="e">
        <f>SUM(D28:D30)</f>
        <v>#DIV/0!</v>
      </c>
      <c r="E12" s="1874" t="e">
        <f>SUM(E28:E30)</f>
        <v>#DIV/0!</v>
      </c>
      <c r="F12" s="1874">
        <f>SUM(F28:F30)</f>
        <v>0</v>
      </c>
      <c r="G12" s="1594">
        <f>SUM(G28:G30)</f>
        <v>0</v>
      </c>
      <c r="H12" s="231"/>
      <c r="I12" s="231"/>
      <c r="J12" s="34"/>
      <c r="K12" s="34"/>
      <c r="L12" s="298"/>
      <c r="N12" s="299"/>
      <c r="V12" s="32"/>
      <c r="W12" s="33"/>
      <c r="X12" s="33"/>
    </row>
    <row r="13" spans="1:24" ht="14.25" x14ac:dyDescent="0.2">
      <c r="A13" s="227"/>
      <c r="B13" s="2087" t="s">
        <v>10</v>
      </c>
      <c r="C13" s="2088"/>
      <c r="D13" s="291" t="e">
        <f>SUM(D31:D32)</f>
        <v>#DIV/0!</v>
      </c>
      <c r="E13" s="291" t="e">
        <f>SUM(E31:E32)</f>
        <v>#DIV/0!</v>
      </c>
      <c r="F13" s="291" t="e">
        <f>SUM(F31:F32)</f>
        <v>#DIV/0!</v>
      </c>
      <c r="G13" s="293" t="e">
        <f>SUM(G31:G32)</f>
        <v>#DIV/0!</v>
      </c>
      <c r="H13" s="231"/>
      <c r="I13" s="231"/>
      <c r="J13" s="34"/>
      <c r="K13" s="34"/>
      <c r="L13" s="298"/>
      <c r="N13" s="299"/>
      <c r="V13" s="32"/>
      <c r="W13" s="33"/>
      <c r="X13" s="33"/>
    </row>
    <row r="14" spans="1:24" ht="14.25" x14ac:dyDescent="0.2">
      <c r="A14" s="227"/>
      <c r="B14" s="2089" t="s">
        <v>17</v>
      </c>
      <c r="C14" s="2090"/>
      <c r="D14" s="292">
        <f>SUM(D33:D36)</f>
        <v>0</v>
      </c>
      <c r="E14" s="292">
        <f>SUM(E33:E36)</f>
        <v>0</v>
      </c>
      <c r="F14" s="292">
        <f>SUM(F33:F36)</f>
        <v>0</v>
      </c>
      <c r="G14" s="294">
        <f>SUM(G33:G36)</f>
        <v>0</v>
      </c>
      <c r="H14" s="231"/>
      <c r="I14" s="231"/>
      <c r="J14" s="34"/>
      <c r="K14" s="34"/>
      <c r="L14" s="298"/>
      <c r="N14" s="299"/>
      <c r="V14" s="32"/>
      <c r="W14" s="33"/>
      <c r="X14" s="33"/>
    </row>
    <row r="15" spans="1:24" ht="15" thickBot="1" x14ac:dyDescent="0.25">
      <c r="A15" s="227"/>
      <c r="B15" s="2091" t="s">
        <v>239</v>
      </c>
      <c r="C15" s="2092"/>
      <c r="D15" s="295" t="e">
        <f>SUM(D12:D14)</f>
        <v>#DIV/0!</v>
      </c>
      <c r="E15" s="295" t="e">
        <f t="shared" ref="E15:G15" si="0">SUM(E12:E14)</f>
        <v>#DIV/0!</v>
      </c>
      <c r="F15" s="295" t="e">
        <f t="shared" si="0"/>
        <v>#DIV/0!</v>
      </c>
      <c r="G15" s="296" t="e">
        <f t="shared" si="0"/>
        <v>#DIV/0!</v>
      </c>
      <c r="H15" s="231"/>
      <c r="I15" s="231"/>
      <c r="J15" s="231"/>
      <c r="K15" s="34"/>
      <c r="L15" s="34"/>
      <c r="N15" s="299"/>
      <c r="O15" s="300"/>
      <c r="W15" s="32"/>
      <c r="X15" s="33"/>
    </row>
    <row r="16" spans="1:24" ht="15" thickBot="1" x14ac:dyDescent="0.25">
      <c r="A16" s="227"/>
      <c r="B16" s="227"/>
      <c r="C16" s="236"/>
      <c r="D16" s="236"/>
      <c r="E16" s="236"/>
      <c r="F16" s="236"/>
      <c r="G16" s="231"/>
      <c r="H16" s="231"/>
      <c r="I16" s="231"/>
      <c r="J16" s="231"/>
      <c r="K16" s="34"/>
      <c r="L16" s="34"/>
      <c r="N16" s="299"/>
      <c r="W16" s="32"/>
      <c r="X16" s="33"/>
    </row>
    <row r="17" spans="1:24" ht="15.75" thickBot="1" x14ac:dyDescent="0.3">
      <c r="A17" s="227"/>
      <c r="B17" s="2107" t="s">
        <v>1495</v>
      </c>
      <c r="C17" s="2108"/>
      <c r="D17" s="2108"/>
      <c r="E17" s="2108"/>
      <c r="F17" s="2108"/>
      <c r="G17" s="2109"/>
      <c r="H17" s="231"/>
      <c r="I17" s="231"/>
      <c r="J17" s="231"/>
      <c r="K17" s="34"/>
      <c r="L17" s="34"/>
      <c r="N17" s="299"/>
      <c r="O17"/>
      <c r="P17"/>
      <c r="Q17"/>
      <c r="R17"/>
      <c r="S17"/>
      <c r="T17"/>
      <c r="W17" s="32"/>
      <c r="X17" s="33"/>
    </row>
    <row r="18" spans="1:24" ht="26.25" thickBot="1" x14ac:dyDescent="0.25">
      <c r="A18" s="227"/>
      <c r="B18" s="2110" t="s">
        <v>0</v>
      </c>
      <c r="C18" s="2111"/>
      <c r="D18" s="1572" t="s">
        <v>234</v>
      </c>
      <c r="E18" s="1572" t="s">
        <v>1485</v>
      </c>
      <c r="F18" s="1572" t="s">
        <v>1486</v>
      </c>
      <c r="G18" s="1573" t="s">
        <v>1487</v>
      </c>
      <c r="H18" s="231"/>
      <c r="I18" s="231"/>
      <c r="J18" s="231"/>
      <c r="K18" s="34"/>
      <c r="L18" s="34"/>
      <c r="N18" s="299"/>
      <c r="O18"/>
      <c r="P18"/>
      <c r="Q18"/>
      <c r="R18"/>
      <c r="S18"/>
      <c r="T18"/>
      <c r="W18" s="32"/>
      <c r="X18" s="33"/>
    </row>
    <row r="19" spans="1:24" ht="14.25" x14ac:dyDescent="0.2">
      <c r="A19" s="227"/>
      <c r="B19" s="2085" t="s">
        <v>195</v>
      </c>
      <c r="C19" s="2086"/>
      <c r="D19" s="1874">
        <f>SUM(E19:G19)</f>
        <v>0</v>
      </c>
      <c r="E19" s="1874">
        <f>'Stationary Energy - Buildings'!I27+'Stationary Energy - Buildings'!H35+(Inputs!D39*'Stationary Energy - Buildings'!D224*'Emission Factors'!C26+Inputs!D39*'Stationary Energy - Buildings'!D224*'Emission Factors'!C25*'Emission Factors'!B126)</f>
        <v>0</v>
      </c>
      <c r="F19" s="1874">
        <f>'Stationary Energy - Buildings'!H27</f>
        <v>0</v>
      </c>
      <c r="G19" s="1594">
        <f>F19*'Stationary Energy - Buildings'!D218</f>
        <v>0</v>
      </c>
      <c r="H19" s="231"/>
      <c r="I19" s="231"/>
      <c r="J19" s="231"/>
      <c r="K19" s="34"/>
      <c r="L19" s="34"/>
      <c r="N19" s="299"/>
      <c r="O19"/>
      <c r="P19"/>
      <c r="Q19"/>
      <c r="R19"/>
      <c r="S19"/>
      <c r="T19"/>
      <c r="W19" s="32"/>
      <c r="X19" s="33"/>
    </row>
    <row r="20" spans="1:24" ht="14.25" x14ac:dyDescent="0.2">
      <c r="A20" s="227"/>
      <c r="B20" s="2087" t="s">
        <v>10</v>
      </c>
      <c r="C20" s="2088"/>
      <c r="D20" s="291">
        <f>SUM(E20:G20)</f>
        <v>0</v>
      </c>
      <c r="E20" s="291">
        <f>SUM('Transportation - On Road'!G59:G60)</f>
        <v>0</v>
      </c>
      <c r="F20" s="1587"/>
      <c r="G20" s="1588"/>
      <c r="H20" s="231"/>
      <c r="I20" s="231"/>
      <c r="J20" s="231"/>
      <c r="K20" s="34"/>
      <c r="L20" s="34"/>
      <c r="N20" s="299"/>
      <c r="O20"/>
      <c r="P20"/>
      <c r="Q20"/>
      <c r="R20"/>
      <c r="S20"/>
      <c r="T20"/>
      <c r="W20" s="32"/>
      <c r="X20" s="33"/>
    </row>
    <row r="21" spans="1:24" ht="15" thickBot="1" x14ac:dyDescent="0.25">
      <c r="A21" s="227"/>
      <c r="B21" s="2091" t="s">
        <v>239</v>
      </c>
      <c r="C21" s="2092"/>
      <c r="D21" s="295">
        <f>SUM(D19:D20)</f>
        <v>0</v>
      </c>
      <c r="E21" s="295">
        <f>SUM(E19:E20)</f>
        <v>0</v>
      </c>
      <c r="F21" s="295">
        <f>SUM(F19:F20)</f>
        <v>0</v>
      </c>
      <c r="G21" s="296">
        <f>SUM(G19:G20)</f>
        <v>0</v>
      </c>
      <c r="H21" s="231"/>
      <c r="I21" s="231"/>
      <c r="J21" s="231"/>
      <c r="K21" s="34"/>
      <c r="L21" s="34"/>
      <c r="N21" s="299"/>
      <c r="O21"/>
      <c r="P21"/>
      <c r="Q21"/>
      <c r="R21"/>
      <c r="S21"/>
      <c r="T21"/>
      <c r="W21" s="32"/>
      <c r="X21" s="33"/>
    </row>
    <row r="22" spans="1:24" ht="14.25" x14ac:dyDescent="0.2">
      <c r="A22" s="227"/>
      <c r="B22" s="33" t="s">
        <v>1490</v>
      </c>
      <c r="C22" s="236"/>
      <c r="D22" s="236"/>
      <c r="E22" s="236"/>
      <c r="F22" s="236"/>
      <c r="G22" s="231"/>
      <c r="H22" s="231"/>
      <c r="I22" s="231"/>
      <c r="J22" s="231"/>
      <c r="K22" s="34"/>
      <c r="L22" s="34"/>
      <c r="N22" s="299"/>
      <c r="O22"/>
      <c r="P22"/>
      <c r="Q22"/>
      <c r="R22"/>
      <c r="S22"/>
      <c r="T22"/>
      <c r="W22" s="32"/>
      <c r="X22" s="33"/>
    </row>
    <row r="23" spans="1:24" ht="14.25" x14ac:dyDescent="0.2">
      <c r="A23" s="227"/>
      <c r="B23" s="33" t="s">
        <v>1488</v>
      </c>
      <c r="C23" s="236"/>
      <c r="D23" s="236"/>
      <c r="E23" s="236"/>
      <c r="F23" s="236"/>
      <c r="G23" s="231"/>
      <c r="H23" s="231"/>
      <c r="I23" s="231"/>
      <c r="J23" s="231"/>
      <c r="K23" s="34"/>
      <c r="L23" s="34"/>
      <c r="N23" s="299"/>
      <c r="O23"/>
      <c r="P23"/>
      <c r="Q23"/>
      <c r="R23"/>
      <c r="S23"/>
      <c r="T23"/>
      <c r="W23" s="32"/>
      <c r="X23" s="33"/>
    </row>
    <row r="24" spans="1:24" ht="14.25" x14ac:dyDescent="0.2">
      <c r="A24" s="227"/>
      <c r="B24" s="33" t="s">
        <v>1489</v>
      </c>
      <c r="C24" s="236"/>
      <c r="D24" s="236"/>
      <c r="E24" s="236"/>
      <c r="F24" s="236"/>
      <c r="G24" s="231"/>
      <c r="H24" s="231"/>
      <c r="I24" s="231"/>
      <c r="J24" s="231"/>
      <c r="K24" s="34"/>
      <c r="L24" s="34"/>
      <c r="N24" s="299"/>
      <c r="O24" s="33"/>
      <c r="P24" s="33"/>
      <c r="Q24" s="33"/>
      <c r="R24" s="33"/>
      <c r="S24" s="33"/>
      <c r="T24" s="33"/>
      <c r="W24" s="32"/>
      <c r="X24" s="33"/>
    </row>
    <row r="25" spans="1:24" ht="15" thickBot="1" x14ac:dyDescent="0.25">
      <c r="A25" s="227"/>
      <c r="B25" s="227"/>
      <c r="C25" s="236"/>
      <c r="D25" s="236"/>
      <c r="E25" s="236"/>
      <c r="F25" s="236"/>
      <c r="G25" s="231"/>
      <c r="H25" s="231"/>
      <c r="I25" s="231"/>
      <c r="J25" s="231"/>
      <c r="K25" s="34"/>
      <c r="L25" s="34"/>
      <c r="N25" s="299"/>
      <c r="W25" s="32"/>
      <c r="X25" s="33"/>
    </row>
    <row r="26" spans="1:24" ht="15.75" thickBot="1" x14ac:dyDescent="0.3">
      <c r="A26" s="227"/>
      <c r="B26" s="2045" t="s">
        <v>1494</v>
      </c>
      <c r="C26" s="2083"/>
      <c r="D26" s="2083"/>
      <c r="E26" s="2083"/>
      <c r="F26" s="2083"/>
      <c r="G26" s="2084"/>
      <c r="H26" s="231"/>
      <c r="I26" s="231"/>
      <c r="J26" s="231"/>
      <c r="K26" s="34"/>
      <c r="L26" s="34"/>
      <c r="N26" s="299"/>
      <c r="W26" s="32"/>
      <c r="X26" s="33"/>
    </row>
    <row r="27" spans="1:24" ht="26.25" thickBot="1" x14ac:dyDescent="0.25">
      <c r="A27" s="227"/>
      <c r="B27" s="237" t="s">
        <v>0</v>
      </c>
      <c r="C27" s="238" t="s">
        <v>85</v>
      </c>
      <c r="D27" s="239" t="s">
        <v>234</v>
      </c>
      <c r="E27" s="239" t="s">
        <v>235</v>
      </c>
      <c r="F27" s="239" t="s">
        <v>236</v>
      </c>
      <c r="G27" s="240" t="s">
        <v>237</v>
      </c>
      <c r="H27" s="231"/>
      <c r="I27" s="231"/>
      <c r="J27" s="231"/>
      <c r="K27" s="34"/>
      <c r="L27" s="34"/>
      <c r="N27" s="298"/>
      <c r="W27" s="32"/>
      <c r="X27" s="33"/>
    </row>
    <row r="28" spans="1:24" ht="14.25" x14ac:dyDescent="0.2">
      <c r="A28" s="227"/>
      <c r="B28" s="2121" t="s">
        <v>195</v>
      </c>
      <c r="C28" s="241" t="s">
        <v>196</v>
      </c>
      <c r="D28" s="242">
        <f>SUM(F41:F45)</f>
        <v>0</v>
      </c>
      <c r="E28" s="243">
        <f>SUMIF(E41:E45,1,F41:F45)</f>
        <v>0</v>
      </c>
      <c r="F28" s="243">
        <f>SUMIF(E41:E45,2,F41:F45)</f>
        <v>0</v>
      </c>
      <c r="G28" s="244">
        <f>SUMIF(E41:E45,3,F41:F45)</f>
        <v>0</v>
      </c>
      <c r="H28" s="34"/>
      <c r="T28" s="32"/>
      <c r="U28" s="33"/>
      <c r="V28" s="33"/>
      <c r="W28" s="33"/>
      <c r="X28" s="33"/>
    </row>
    <row r="29" spans="1:24" ht="14.25" x14ac:dyDescent="0.2">
      <c r="A29" s="227"/>
      <c r="B29" s="2122"/>
      <c r="C29" s="245" t="s">
        <v>1385</v>
      </c>
      <c r="D29" s="246" t="e">
        <f>SUM(F46:F51)</f>
        <v>#DIV/0!</v>
      </c>
      <c r="E29" s="247" t="e">
        <f>SUMIF(E46:E51,1,F46:F51)</f>
        <v>#DIV/0!</v>
      </c>
      <c r="F29" s="247">
        <f>SUMIF(E46:E51,2,F46:F51)</f>
        <v>0</v>
      </c>
      <c r="G29" s="248">
        <f>SUMIF(E46:E51,3,F46:F51)</f>
        <v>0</v>
      </c>
      <c r="H29" s="34"/>
      <c r="T29" s="32"/>
      <c r="U29" s="33"/>
      <c r="V29" s="33"/>
      <c r="W29" s="33"/>
      <c r="X29" s="33"/>
    </row>
    <row r="30" spans="1:24" ht="14.25" x14ac:dyDescent="0.2">
      <c r="A30" s="227"/>
      <c r="B30" s="2122"/>
      <c r="C30" s="245" t="s">
        <v>589</v>
      </c>
      <c r="D30" s="246" t="e">
        <f>SUM(F52:F52)</f>
        <v>#DIV/0!</v>
      </c>
      <c r="E30" s="247" t="e">
        <f>SUMIF(E52:E52,1,F52:F52)</f>
        <v>#DIV/0!</v>
      </c>
      <c r="F30" s="247">
        <f>SUMIF(E52:E52,2,F52:F52)</f>
        <v>0</v>
      </c>
      <c r="G30" s="248">
        <f>SUMIF(E52:E52,3,F52:F52)</f>
        <v>0</v>
      </c>
      <c r="H30" s="34"/>
      <c r="T30" s="32"/>
      <c r="U30" s="33"/>
      <c r="V30" s="33"/>
      <c r="W30" s="33"/>
      <c r="X30" s="33"/>
    </row>
    <row r="31" spans="1:24" ht="14.25" x14ac:dyDescent="0.2">
      <c r="A31" s="227"/>
      <c r="B31" s="2123" t="s">
        <v>10</v>
      </c>
      <c r="C31" s="249" t="s">
        <v>18</v>
      </c>
      <c r="D31" s="250" t="e">
        <f>SUM(F53:F57)</f>
        <v>#DIV/0!</v>
      </c>
      <c r="E31" s="250" t="e">
        <f>SUMIF(E53:E57,1,F53:F57)</f>
        <v>#DIV/0!</v>
      </c>
      <c r="F31" s="250" t="e">
        <f>SUMIF(E53:E57,2,F53:F57)</f>
        <v>#DIV/0!</v>
      </c>
      <c r="G31" s="251" t="e">
        <f>SUMIF(E53:E57,3,F53:F57)</f>
        <v>#DIV/0!</v>
      </c>
      <c r="H31" s="34"/>
      <c r="I31" s="33"/>
      <c r="J31" s="33"/>
      <c r="K31" s="33"/>
      <c r="T31" s="32"/>
      <c r="U31" s="33"/>
      <c r="V31" s="33"/>
      <c r="W31" s="33"/>
      <c r="X31" s="33"/>
    </row>
    <row r="32" spans="1:24" ht="14.25" x14ac:dyDescent="0.2">
      <c r="A32" s="227"/>
      <c r="B32" s="2124"/>
      <c r="C32" s="252" t="s">
        <v>213</v>
      </c>
      <c r="D32" s="253">
        <f>SUM(F58:F60)</f>
        <v>0</v>
      </c>
      <c r="E32" s="253">
        <f>SUMIF(E58:E60,1,F58:F60)</f>
        <v>0</v>
      </c>
      <c r="F32" s="253">
        <f>SUMIF(E58:E60,2,F58:F60)</f>
        <v>0</v>
      </c>
      <c r="G32" s="254">
        <f>SUMIF(E58:E60,3,F58:F60)</f>
        <v>0</v>
      </c>
      <c r="H32" s="34"/>
      <c r="I32" s="33"/>
      <c r="J32" s="33"/>
      <c r="K32" s="33"/>
      <c r="T32" s="32"/>
      <c r="U32" s="33"/>
      <c r="V32" s="33"/>
      <c r="W32" s="33"/>
      <c r="X32" s="33"/>
    </row>
    <row r="33" spans="1:24" ht="14.25" x14ac:dyDescent="0.2">
      <c r="A33" s="227"/>
      <c r="B33" s="2125" t="s">
        <v>17</v>
      </c>
      <c r="C33" s="255" t="s">
        <v>214</v>
      </c>
      <c r="D33" s="256">
        <f>SUM(F61)</f>
        <v>0</v>
      </c>
      <c r="E33" s="256">
        <f>SUMIF(E61,1,F61)</f>
        <v>0</v>
      </c>
      <c r="F33" s="256">
        <f>SUMIF(E61,2,F61)</f>
        <v>0</v>
      </c>
      <c r="G33" s="257">
        <f>SUMIF(E61,3,F61)</f>
        <v>0</v>
      </c>
      <c r="H33" s="34"/>
      <c r="I33" s="33"/>
      <c r="J33" s="33"/>
      <c r="K33" s="33"/>
      <c r="T33" s="32"/>
      <c r="U33" s="33"/>
      <c r="V33" s="33"/>
      <c r="W33" s="33"/>
      <c r="X33" s="33"/>
    </row>
    <row r="34" spans="1:24" ht="14.25" x14ac:dyDescent="0.2">
      <c r="A34" s="227"/>
      <c r="B34" s="2126"/>
      <c r="C34" s="1431" t="s">
        <v>1071</v>
      </c>
      <c r="D34" s="1432">
        <f>F62</f>
        <v>0</v>
      </c>
      <c r="E34" s="1432">
        <v>0</v>
      </c>
      <c r="F34" s="1432">
        <v>0</v>
      </c>
      <c r="G34" s="1433">
        <f>F62</f>
        <v>0</v>
      </c>
      <c r="H34" s="34"/>
      <c r="I34" s="33"/>
      <c r="J34" s="33"/>
      <c r="K34" s="33"/>
      <c r="T34" s="32"/>
      <c r="U34" s="33"/>
      <c r="V34" s="33"/>
      <c r="W34" s="33"/>
      <c r="X34" s="33"/>
    </row>
    <row r="35" spans="1:24" ht="14.25" x14ac:dyDescent="0.2">
      <c r="A35" s="227"/>
      <c r="B35" s="2127"/>
      <c r="C35" s="258" t="s">
        <v>215</v>
      </c>
      <c r="D35" s="259">
        <f>SUM(F63)</f>
        <v>0</v>
      </c>
      <c r="E35" s="259">
        <f>SUMIF(E63,1,F63)</f>
        <v>0</v>
      </c>
      <c r="F35" s="259">
        <f>SUMIF(E63,2,F63)</f>
        <v>0</v>
      </c>
      <c r="G35" s="260">
        <f>SUMIF(E63,3,F63)</f>
        <v>0</v>
      </c>
      <c r="H35" s="34"/>
      <c r="I35" s="33"/>
      <c r="J35" s="33"/>
      <c r="K35" s="33"/>
      <c r="T35" s="32"/>
      <c r="U35" s="33"/>
      <c r="V35" s="33"/>
      <c r="W35" s="33"/>
      <c r="X35" s="33"/>
    </row>
    <row r="36" spans="1:24" ht="14.25" x14ac:dyDescent="0.2">
      <c r="A36" s="227"/>
      <c r="B36" s="2128"/>
      <c r="C36" s="261" t="s">
        <v>216</v>
      </c>
      <c r="D36" s="232">
        <f>SUM(F64)</f>
        <v>0</v>
      </c>
      <c r="E36" s="232">
        <f>SUMIF(E64,1,F64)</f>
        <v>0</v>
      </c>
      <c r="F36" s="232">
        <f>SUMIF(E64,2,F64)</f>
        <v>0</v>
      </c>
      <c r="G36" s="233">
        <f>SUMIF(E64,3,F64)</f>
        <v>0</v>
      </c>
      <c r="H36" s="34"/>
      <c r="I36" s="33"/>
      <c r="J36" s="33"/>
      <c r="K36" s="33"/>
      <c r="T36" s="32"/>
      <c r="U36" s="33"/>
      <c r="V36" s="33"/>
      <c r="W36" s="33"/>
      <c r="X36" s="33"/>
    </row>
    <row r="37" spans="1:24" ht="15" thickBot="1" x14ac:dyDescent="0.25">
      <c r="A37" s="227"/>
      <c r="B37" s="2129" t="s">
        <v>238</v>
      </c>
      <c r="C37" s="2130"/>
      <c r="D37" s="234" t="e">
        <f>SUM(D28:D36)</f>
        <v>#DIV/0!</v>
      </c>
      <c r="E37" s="234" t="e">
        <f>SUM(E28:E36)</f>
        <v>#DIV/0!</v>
      </c>
      <c r="F37" s="234" t="e">
        <f>SUM(F28:F36)</f>
        <v>#DIV/0!</v>
      </c>
      <c r="G37" s="235" t="e">
        <f>SUM(G28:G36)</f>
        <v>#DIV/0!</v>
      </c>
      <c r="H37" s="231"/>
      <c r="I37" s="33"/>
      <c r="J37" s="33"/>
      <c r="K37" s="33"/>
      <c r="L37" s="34"/>
      <c r="W37" s="32"/>
      <c r="X37" s="33"/>
    </row>
    <row r="38" spans="1:24" ht="15" thickBot="1" x14ac:dyDescent="0.25">
      <c r="A38" s="227"/>
      <c r="B38" s="227"/>
      <c r="C38" s="236"/>
      <c r="D38" s="236"/>
      <c r="E38" s="236"/>
      <c r="F38" s="236"/>
      <c r="G38" s="231"/>
      <c r="H38" s="231"/>
      <c r="I38" s="231"/>
      <c r="J38" s="231"/>
      <c r="K38" s="34"/>
      <c r="L38" s="34"/>
      <c r="W38" s="32"/>
      <c r="X38" s="33"/>
    </row>
    <row r="39" spans="1:24" ht="15.75" thickBot="1" x14ac:dyDescent="0.3">
      <c r="A39" s="227"/>
      <c r="B39" s="2045" t="s">
        <v>1493</v>
      </c>
      <c r="C39" s="1965"/>
      <c r="D39" s="1965"/>
      <c r="E39" s="1965"/>
      <c r="F39" s="1966"/>
      <c r="G39" s="228"/>
      <c r="H39" s="228"/>
      <c r="U39" s="32"/>
      <c r="V39" s="33"/>
      <c r="W39" s="33"/>
      <c r="X39" s="33"/>
    </row>
    <row r="40" spans="1:24" ht="31.5" customHeight="1" thickBot="1" x14ac:dyDescent="0.25">
      <c r="A40" s="227"/>
      <c r="B40" s="237" t="s">
        <v>0</v>
      </c>
      <c r="C40" s="238" t="s">
        <v>85</v>
      </c>
      <c r="D40" s="238" t="s">
        <v>5</v>
      </c>
      <c r="E40" s="238" t="s">
        <v>218</v>
      </c>
      <c r="F40" s="240" t="s">
        <v>960</v>
      </c>
      <c r="G40" s="31"/>
      <c r="R40" s="32"/>
      <c r="S40" s="33"/>
      <c r="T40" s="33"/>
      <c r="U40" s="33"/>
      <c r="V40" s="33"/>
      <c r="W40" s="33"/>
      <c r="X40" s="33"/>
    </row>
    <row r="41" spans="1:24" ht="14.25" x14ac:dyDescent="0.2">
      <c r="A41" s="227"/>
      <c r="B41" s="2050" t="s">
        <v>195</v>
      </c>
      <c r="C41" s="2046" t="s">
        <v>196</v>
      </c>
      <c r="D41" s="262" t="s">
        <v>6</v>
      </c>
      <c r="E41" s="262">
        <v>2</v>
      </c>
      <c r="F41" s="570">
        <f>'All Emissions - Summary'!I70</f>
        <v>0</v>
      </c>
      <c r="G41" s="31"/>
      <c r="R41" s="32"/>
      <c r="S41" s="33"/>
      <c r="T41" s="33"/>
      <c r="U41" s="33"/>
      <c r="V41" s="33"/>
      <c r="W41" s="33"/>
      <c r="X41" s="33"/>
    </row>
    <row r="42" spans="1:24" ht="14.25" x14ac:dyDescent="0.2">
      <c r="A42" s="227"/>
      <c r="B42" s="2057"/>
      <c r="C42" s="2047"/>
      <c r="D42" s="265" t="s">
        <v>99</v>
      </c>
      <c r="E42" s="265">
        <v>3</v>
      </c>
      <c r="F42" s="571">
        <f>'All Emissions - Summary'!I71</f>
        <v>0</v>
      </c>
      <c r="G42" s="31"/>
      <c r="R42" s="32"/>
      <c r="S42" s="33"/>
      <c r="T42" s="33"/>
      <c r="U42" s="33"/>
      <c r="V42" s="33"/>
      <c r="W42" s="33"/>
      <c r="X42" s="33"/>
    </row>
    <row r="43" spans="1:24" ht="14.25" x14ac:dyDescent="0.2">
      <c r="A43" s="227"/>
      <c r="B43" s="2057"/>
      <c r="C43" s="2047"/>
      <c r="D43" s="265" t="s">
        <v>33</v>
      </c>
      <c r="E43" s="265">
        <v>1</v>
      </c>
      <c r="F43" s="571">
        <f>'All Emissions - Summary'!I72</f>
        <v>0</v>
      </c>
      <c r="G43" s="31"/>
      <c r="R43" s="32"/>
      <c r="S43" s="33"/>
      <c r="T43" s="33"/>
      <c r="U43" s="33"/>
      <c r="V43" s="33"/>
      <c r="W43" s="33"/>
      <c r="X43" s="33"/>
    </row>
    <row r="44" spans="1:24" ht="14.25" x14ac:dyDescent="0.2">
      <c r="A44" s="227"/>
      <c r="B44" s="2057"/>
      <c r="C44" s="2047"/>
      <c r="D44" s="265" t="s">
        <v>7</v>
      </c>
      <c r="E44" s="265">
        <v>1</v>
      </c>
      <c r="F44" s="571">
        <f>'All Emissions - Summary'!I73</f>
        <v>0</v>
      </c>
      <c r="G44" s="31"/>
      <c r="R44" s="32"/>
      <c r="S44" s="33"/>
      <c r="T44" s="33"/>
      <c r="U44" s="33"/>
      <c r="V44" s="33"/>
      <c r="W44" s="33"/>
      <c r="X44" s="33"/>
    </row>
    <row r="45" spans="1:24" ht="14.25" x14ac:dyDescent="0.2">
      <c r="A45" s="227"/>
      <c r="B45" s="2057"/>
      <c r="C45" s="2047"/>
      <c r="D45" s="267" t="s">
        <v>261</v>
      </c>
      <c r="E45" s="267">
        <v>1</v>
      </c>
      <c r="F45" s="572">
        <f>'All Emissions - Summary'!I74</f>
        <v>0</v>
      </c>
      <c r="G45" s="31"/>
      <c r="R45" s="32"/>
      <c r="S45" s="33"/>
      <c r="T45" s="33"/>
      <c r="U45" s="33"/>
      <c r="V45" s="33"/>
      <c r="W45" s="33"/>
      <c r="X45" s="33"/>
    </row>
    <row r="46" spans="1:24" ht="14.25" x14ac:dyDescent="0.2">
      <c r="A46" s="227"/>
      <c r="B46" s="2057"/>
      <c r="C46" s="2120" t="s">
        <v>571</v>
      </c>
      <c r="D46" s="269" t="s">
        <v>6</v>
      </c>
      <c r="E46" s="269">
        <v>2</v>
      </c>
      <c r="F46" s="573">
        <f>'All Emissions - Summary'!I75</f>
        <v>0</v>
      </c>
      <c r="G46" s="31"/>
      <c r="R46" s="32"/>
      <c r="S46" s="33"/>
      <c r="T46" s="33"/>
      <c r="U46" s="33"/>
      <c r="V46" s="33"/>
      <c r="W46" s="33"/>
      <c r="X46" s="33"/>
    </row>
    <row r="47" spans="1:24" ht="14.25" x14ac:dyDescent="0.2">
      <c r="A47" s="227"/>
      <c r="B47" s="2057"/>
      <c r="C47" s="2047"/>
      <c r="D47" s="265" t="s">
        <v>99</v>
      </c>
      <c r="E47" s="265">
        <v>3</v>
      </c>
      <c r="F47" s="571">
        <f>'All Emissions - Summary'!I76</f>
        <v>0</v>
      </c>
      <c r="G47" s="31"/>
      <c r="R47" s="32"/>
      <c r="S47" s="33"/>
      <c r="T47" s="33"/>
      <c r="U47" s="33"/>
      <c r="V47" s="33"/>
      <c r="W47" s="33"/>
      <c r="X47" s="33"/>
    </row>
    <row r="48" spans="1:24" ht="14.25" x14ac:dyDescent="0.2">
      <c r="A48" s="227"/>
      <c r="B48" s="2057"/>
      <c r="C48" s="2047"/>
      <c r="D48" s="265" t="s">
        <v>33</v>
      </c>
      <c r="E48" s="265">
        <v>1</v>
      </c>
      <c r="F48" s="571">
        <f>'All Emissions - Summary'!I77</f>
        <v>0</v>
      </c>
      <c r="G48" s="31"/>
      <c r="R48" s="32"/>
      <c r="S48" s="33"/>
      <c r="T48" s="33"/>
      <c r="U48" s="33"/>
      <c r="V48" s="33"/>
      <c r="W48" s="33"/>
      <c r="X48" s="33"/>
    </row>
    <row r="49" spans="1:24" ht="14.25" x14ac:dyDescent="0.2">
      <c r="A49" s="227"/>
      <c r="B49" s="2057"/>
      <c r="C49" s="2047"/>
      <c r="D49" s="265" t="s">
        <v>7</v>
      </c>
      <c r="E49" s="265">
        <v>1</v>
      </c>
      <c r="F49" s="571">
        <f>'All Emissions - Summary'!I78</f>
        <v>0</v>
      </c>
      <c r="G49" s="31"/>
      <c r="R49" s="32"/>
      <c r="S49" s="33"/>
      <c r="T49" s="33"/>
      <c r="U49" s="33"/>
      <c r="V49" s="33"/>
      <c r="W49" s="33"/>
      <c r="X49" s="33"/>
    </row>
    <row r="50" spans="1:24" ht="14.25" x14ac:dyDescent="0.2">
      <c r="A50" s="227"/>
      <c r="B50" s="2057"/>
      <c r="C50" s="2047"/>
      <c r="D50" s="265" t="s">
        <v>261</v>
      </c>
      <c r="E50" s="265">
        <v>1</v>
      </c>
      <c r="F50" s="571">
        <f>'All Emissions - Summary'!I79</f>
        <v>0</v>
      </c>
      <c r="G50" s="31"/>
      <c r="R50" s="32"/>
      <c r="S50" s="33"/>
      <c r="T50" s="33"/>
      <c r="U50" s="33"/>
      <c r="V50" s="33"/>
      <c r="W50" s="33"/>
      <c r="X50" s="33"/>
    </row>
    <row r="51" spans="1:24" ht="14.25" x14ac:dyDescent="0.2">
      <c r="A51" s="227"/>
      <c r="B51" s="2057"/>
      <c r="C51" s="2049"/>
      <c r="D51" s="267" t="s">
        <v>217</v>
      </c>
      <c r="E51" s="267">
        <v>1</v>
      </c>
      <c r="F51" s="572" t="e">
        <f>'All Emissions - Summary'!I80</f>
        <v>#DIV/0!</v>
      </c>
      <c r="G51" s="31"/>
      <c r="R51" s="32"/>
      <c r="S51" s="33"/>
      <c r="T51" s="33"/>
      <c r="U51" s="33"/>
      <c r="V51" s="33"/>
      <c r="W51" s="33"/>
      <c r="X51" s="33"/>
    </row>
    <row r="52" spans="1:24" ht="15" thickBot="1" x14ac:dyDescent="0.25">
      <c r="A52" s="227"/>
      <c r="B52" s="2057"/>
      <c r="C52" s="1397" t="s">
        <v>589</v>
      </c>
      <c r="D52" s="1397" t="s">
        <v>217</v>
      </c>
      <c r="E52" s="1397">
        <v>1</v>
      </c>
      <c r="F52" s="574" t="e">
        <f>'All Emissions - Summary'!I81</f>
        <v>#DIV/0!</v>
      </c>
      <c r="G52" s="31"/>
      <c r="R52" s="32"/>
      <c r="S52" s="33"/>
      <c r="T52" s="33"/>
      <c r="U52" s="33"/>
      <c r="V52" s="33"/>
      <c r="W52" s="33"/>
      <c r="X52" s="33"/>
    </row>
    <row r="53" spans="1:24" ht="14.25" x14ac:dyDescent="0.2">
      <c r="A53" s="227"/>
      <c r="B53" s="2056" t="s">
        <v>10</v>
      </c>
      <c r="C53" s="2053" t="s">
        <v>18</v>
      </c>
      <c r="D53" s="274" t="s">
        <v>54</v>
      </c>
      <c r="E53" s="274">
        <v>1</v>
      </c>
      <c r="F53" s="1421">
        <f>I82</f>
        <v>0</v>
      </c>
      <c r="G53" s="31"/>
      <c r="M53" s="32"/>
      <c r="N53" s="33"/>
      <c r="O53" s="33"/>
      <c r="P53" s="33"/>
      <c r="Q53" s="33"/>
      <c r="R53" s="33"/>
      <c r="S53" s="33"/>
      <c r="T53" s="33"/>
      <c r="U53" s="33"/>
      <c r="V53" s="33"/>
      <c r="W53" s="33"/>
      <c r="X53" s="33"/>
    </row>
    <row r="54" spans="1:24" ht="14.25" x14ac:dyDescent="0.2">
      <c r="A54" s="227"/>
      <c r="B54" s="2057"/>
      <c r="C54" s="2054"/>
      <c r="D54" s="275" t="s">
        <v>8</v>
      </c>
      <c r="E54" s="275">
        <v>1</v>
      </c>
      <c r="F54" s="278" t="e">
        <f t="shared" ref="F54:F57" si="1">I83</f>
        <v>#DIV/0!</v>
      </c>
      <c r="G54" s="31"/>
      <c r="M54" s="32"/>
      <c r="N54" s="33"/>
      <c r="O54" s="33"/>
      <c r="P54" s="33"/>
      <c r="Q54" s="33"/>
      <c r="R54" s="33"/>
      <c r="S54" s="33"/>
      <c r="T54" s="33"/>
      <c r="U54" s="33"/>
      <c r="V54" s="33"/>
      <c r="W54" s="33"/>
      <c r="X54" s="33"/>
    </row>
    <row r="55" spans="1:24" ht="14.25" x14ac:dyDescent="0.2">
      <c r="A55" s="227"/>
      <c r="B55" s="2057"/>
      <c r="C55" s="2054"/>
      <c r="D55" s="275" t="s">
        <v>6</v>
      </c>
      <c r="E55" s="275">
        <v>2</v>
      </c>
      <c r="F55" s="278" t="e">
        <f t="shared" si="1"/>
        <v>#DIV/0!</v>
      </c>
      <c r="G55" s="31"/>
      <c r="M55" s="32"/>
      <c r="N55" s="33"/>
      <c r="O55" s="33"/>
      <c r="P55" s="33"/>
      <c r="Q55" s="33"/>
      <c r="R55" s="33"/>
      <c r="S55" s="33"/>
      <c r="T55" s="33"/>
      <c r="U55" s="33"/>
      <c r="V55" s="33"/>
      <c r="W55" s="33"/>
      <c r="X55" s="33"/>
    </row>
    <row r="56" spans="1:24" ht="14.25" x14ac:dyDescent="0.2">
      <c r="A56" s="227"/>
      <c r="B56" s="2057"/>
      <c r="C56" s="2054"/>
      <c r="D56" s="275" t="s">
        <v>99</v>
      </c>
      <c r="E56" s="275">
        <v>3</v>
      </c>
      <c r="F56" s="278" t="e">
        <f t="shared" si="1"/>
        <v>#DIV/0!</v>
      </c>
      <c r="G56" s="31"/>
      <c r="M56" s="32"/>
      <c r="N56" s="33"/>
      <c r="O56" s="33"/>
      <c r="P56" s="33"/>
      <c r="Q56" s="33"/>
      <c r="R56" s="33"/>
      <c r="S56" s="33"/>
      <c r="T56" s="33"/>
      <c r="U56" s="33"/>
      <c r="V56" s="33"/>
      <c r="W56" s="33"/>
      <c r="X56" s="33"/>
    </row>
    <row r="57" spans="1:24" ht="14.25" x14ac:dyDescent="0.2">
      <c r="A57" s="227"/>
      <c r="B57" s="2057"/>
      <c r="C57" s="2049"/>
      <c r="D57" s="276" t="s">
        <v>9</v>
      </c>
      <c r="E57" s="276">
        <v>1</v>
      </c>
      <c r="F57" s="279" t="e">
        <f t="shared" si="1"/>
        <v>#DIV/0!</v>
      </c>
      <c r="G57" s="31"/>
      <c r="M57" s="32"/>
      <c r="N57" s="33"/>
      <c r="O57" s="33"/>
      <c r="P57" s="33"/>
      <c r="Q57" s="33"/>
      <c r="R57" s="33"/>
      <c r="S57" s="33"/>
      <c r="T57" s="33"/>
      <c r="U57" s="33"/>
      <c r="V57" s="33"/>
      <c r="W57" s="33"/>
      <c r="X57" s="33"/>
    </row>
    <row r="58" spans="1:24" ht="14.25" x14ac:dyDescent="0.2">
      <c r="A58" s="227"/>
      <c r="B58" s="2057"/>
      <c r="C58" s="2055" t="s">
        <v>219</v>
      </c>
      <c r="D58" s="277" t="s">
        <v>8</v>
      </c>
      <c r="E58" s="277">
        <v>1</v>
      </c>
      <c r="F58" s="484">
        <f>I87</f>
        <v>0</v>
      </c>
      <c r="G58" s="31"/>
      <c r="M58" s="32"/>
      <c r="N58" s="33"/>
      <c r="O58" s="33"/>
      <c r="P58" s="33"/>
      <c r="Q58" s="33"/>
      <c r="R58" s="33"/>
      <c r="S58" s="33"/>
      <c r="T58" s="33"/>
      <c r="U58" s="33"/>
      <c r="V58" s="33"/>
      <c r="W58" s="33"/>
      <c r="X58" s="33"/>
    </row>
    <row r="59" spans="1:24" ht="14.25" x14ac:dyDescent="0.2">
      <c r="A59" s="227"/>
      <c r="B59" s="2057"/>
      <c r="C59" s="2054"/>
      <c r="D59" s="275" t="s">
        <v>6</v>
      </c>
      <c r="E59" s="275">
        <v>2</v>
      </c>
      <c r="F59" s="278">
        <f t="shared" ref="F59:F60" si="2">I88</f>
        <v>0</v>
      </c>
      <c r="G59" s="31"/>
      <c r="M59" s="32"/>
      <c r="N59" s="33"/>
      <c r="O59" s="33"/>
      <c r="P59" s="33"/>
      <c r="Q59" s="33"/>
      <c r="R59" s="33"/>
      <c r="S59" s="33"/>
      <c r="T59" s="33"/>
      <c r="U59" s="33"/>
      <c r="V59" s="33"/>
      <c r="W59" s="33"/>
      <c r="X59" s="33"/>
    </row>
    <row r="60" spans="1:24" ht="15" thickBot="1" x14ac:dyDescent="0.25">
      <c r="A60" s="227"/>
      <c r="B60" s="2058"/>
      <c r="C60" s="2049"/>
      <c r="D60" s="485" t="s">
        <v>99</v>
      </c>
      <c r="E60" s="485">
        <v>3</v>
      </c>
      <c r="F60" s="486">
        <f t="shared" si="2"/>
        <v>0</v>
      </c>
      <c r="G60" s="31"/>
      <c r="M60" s="32"/>
      <c r="N60" s="33"/>
      <c r="O60" s="33"/>
      <c r="P60" s="33"/>
      <c r="Q60" s="33"/>
      <c r="R60" s="33"/>
      <c r="S60" s="33"/>
      <c r="T60" s="33"/>
      <c r="U60" s="33"/>
      <c r="V60" s="33"/>
      <c r="W60" s="33"/>
      <c r="X60" s="33"/>
    </row>
    <row r="61" spans="1:24" ht="14.25" x14ac:dyDescent="0.2">
      <c r="A61" s="227"/>
      <c r="B61" s="2062" t="s">
        <v>17</v>
      </c>
      <c r="C61" s="280" t="s">
        <v>13</v>
      </c>
      <c r="D61" s="281" t="s">
        <v>232</v>
      </c>
      <c r="E61" s="281">
        <v>3</v>
      </c>
      <c r="F61" s="487">
        <f>I90</f>
        <v>0</v>
      </c>
      <c r="G61" s="31"/>
      <c r="M61" s="32"/>
      <c r="N61" s="33"/>
      <c r="O61" s="33"/>
      <c r="P61" s="33"/>
      <c r="Q61" s="33"/>
      <c r="R61" s="33"/>
      <c r="S61" s="33"/>
      <c r="T61" s="33"/>
      <c r="U61" s="33"/>
      <c r="V61" s="33"/>
      <c r="W61" s="33"/>
      <c r="X61" s="33"/>
    </row>
    <row r="62" spans="1:24" ht="14.25" x14ac:dyDescent="0.2">
      <c r="A62" s="227"/>
      <c r="B62" s="2063"/>
      <c r="C62" s="1401" t="s">
        <v>1071</v>
      </c>
      <c r="D62" s="1402" t="s">
        <v>1383</v>
      </c>
      <c r="E62" s="1402">
        <v>3</v>
      </c>
      <c r="F62" s="1425">
        <f>I91</f>
        <v>0</v>
      </c>
      <c r="G62" s="31"/>
      <c r="M62" s="32"/>
      <c r="N62" s="33"/>
      <c r="O62" s="33"/>
      <c r="P62" s="33"/>
      <c r="Q62" s="33"/>
      <c r="R62" s="33"/>
      <c r="S62" s="33"/>
      <c r="T62" s="33"/>
      <c r="U62" s="33"/>
      <c r="V62" s="33"/>
      <c r="W62" s="33"/>
      <c r="X62" s="33"/>
    </row>
    <row r="63" spans="1:24" ht="14.25" x14ac:dyDescent="0.2">
      <c r="A63" s="227"/>
      <c r="B63" s="2063"/>
      <c r="C63" s="282" t="s">
        <v>215</v>
      </c>
      <c r="D63" s="465" t="s">
        <v>233</v>
      </c>
      <c r="E63" s="465">
        <v>3</v>
      </c>
      <c r="F63" s="488">
        <f t="shared" ref="F63:F64" si="3">I92</f>
        <v>0</v>
      </c>
      <c r="G63" s="31"/>
      <c r="M63" s="32"/>
      <c r="N63" s="33"/>
      <c r="O63" s="33"/>
      <c r="P63" s="33"/>
      <c r="Q63" s="33"/>
      <c r="R63" s="33"/>
      <c r="S63" s="33"/>
      <c r="T63" s="33"/>
      <c r="U63" s="33"/>
      <c r="V63" s="33"/>
      <c r="W63" s="33"/>
      <c r="X63" s="33"/>
    </row>
    <row r="64" spans="1:24" ht="15" thickBot="1" x14ac:dyDescent="0.25">
      <c r="A64" s="227"/>
      <c r="B64" s="2064"/>
      <c r="C64" s="283" t="s">
        <v>216</v>
      </c>
      <c r="D64" s="284" t="s">
        <v>212</v>
      </c>
      <c r="E64" s="284">
        <v>3</v>
      </c>
      <c r="F64" s="575">
        <f t="shared" si="3"/>
        <v>0</v>
      </c>
      <c r="G64" s="31"/>
      <c r="M64" s="32"/>
      <c r="N64" s="33"/>
      <c r="O64" s="33"/>
      <c r="P64" s="33"/>
      <c r="Q64" s="33"/>
      <c r="R64" s="33"/>
      <c r="S64" s="33"/>
      <c r="T64" s="33"/>
      <c r="U64" s="33"/>
      <c r="V64" s="33"/>
      <c r="W64" s="33"/>
      <c r="X64" s="33"/>
    </row>
    <row r="65" spans="1:24" ht="15" thickBot="1" x14ac:dyDescent="0.25">
      <c r="A65" s="227"/>
      <c r="B65" s="2065" t="s">
        <v>310</v>
      </c>
      <c r="C65" s="2066"/>
      <c r="D65" s="2066"/>
      <c r="E65" s="2067"/>
      <c r="F65" s="579" t="e">
        <f>SUM(F41:F64)</f>
        <v>#DIV/0!</v>
      </c>
      <c r="G65" s="31"/>
      <c r="R65" s="32"/>
      <c r="S65" s="33"/>
      <c r="T65" s="33"/>
      <c r="U65" s="33"/>
      <c r="V65" s="33"/>
      <c r="W65" s="33"/>
      <c r="X65" s="33"/>
    </row>
    <row r="66" spans="1:24" ht="15" thickBot="1" x14ac:dyDescent="0.25">
      <c r="A66" s="227"/>
      <c r="B66" s="227"/>
      <c r="D66" s="31"/>
      <c r="E66" s="31"/>
      <c r="F66" s="1530"/>
      <c r="G66" s="1530"/>
      <c r="H66" s="1530"/>
      <c r="N66" s="32"/>
      <c r="O66" s="33"/>
      <c r="W66" s="32"/>
      <c r="X66" s="33"/>
    </row>
    <row r="67" spans="1:24" ht="15.75" thickBot="1" x14ac:dyDescent="0.3">
      <c r="A67" s="227"/>
      <c r="B67" s="2045" t="s">
        <v>1492</v>
      </c>
      <c r="C67" s="1965"/>
      <c r="D67" s="1965"/>
      <c r="E67" s="1965"/>
      <c r="F67" s="1965"/>
      <c r="G67" s="1965"/>
      <c r="H67" s="1965"/>
      <c r="I67" s="1966"/>
      <c r="N67" s="32"/>
      <c r="O67" s="33"/>
      <c r="W67" s="32"/>
      <c r="X67" s="33"/>
    </row>
    <row r="68" spans="1:24" ht="14.25" x14ac:dyDescent="0.2">
      <c r="A68" s="227"/>
      <c r="B68" s="2073" t="s">
        <v>0</v>
      </c>
      <c r="C68" s="2068" t="s">
        <v>85</v>
      </c>
      <c r="D68" s="2068" t="s">
        <v>5</v>
      </c>
      <c r="E68" s="2068" t="s">
        <v>218</v>
      </c>
      <c r="F68" s="2068" t="s">
        <v>304</v>
      </c>
      <c r="G68" s="2131" t="s">
        <v>305</v>
      </c>
      <c r="H68" s="2131" t="s">
        <v>306</v>
      </c>
      <c r="I68" s="2133" t="s">
        <v>309</v>
      </c>
      <c r="J68" s="227"/>
      <c r="K68" s="227"/>
      <c r="L68" s="33"/>
      <c r="W68" s="32"/>
      <c r="X68" s="33"/>
    </row>
    <row r="69" spans="1:24" ht="15" thickBot="1" x14ac:dyDescent="0.25">
      <c r="A69" s="227"/>
      <c r="B69" s="2052"/>
      <c r="C69" s="2069"/>
      <c r="D69" s="2069"/>
      <c r="E69" s="2069"/>
      <c r="F69" s="2069"/>
      <c r="G69" s="2132"/>
      <c r="H69" s="2132"/>
      <c r="I69" s="2134"/>
      <c r="J69" s="227"/>
      <c r="K69" s="227"/>
      <c r="L69" s="33"/>
      <c r="W69" s="32"/>
      <c r="X69" s="33"/>
    </row>
    <row r="70" spans="1:24" ht="42" customHeight="1" x14ac:dyDescent="0.2">
      <c r="A70" s="227"/>
      <c r="B70" s="2050" t="s">
        <v>195</v>
      </c>
      <c r="C70" s="2046" t="s">
        <v>196</v>
      </c>
      <c r="D70" s="262" t="s">
        <v>6</v>
      </c>
      <c r="E70" s="262">
        <v>2</v>
      </c>
      <c r="F70" s="1422">
        <f>'Stationary Energy - Summary'!H17</f>
        <v>0</v>
      </c>
      <c r="G70" s="263">
        <f>'Stationary Energy - Summary'!I17</f>
        <v>0</v>
      </c>
      <c r="H70" s="263">
        <f>'Stationary Energy - Summary'!J17</f>
        <v>0</v>
      </c>
      <c r="I70" s="1405">
        <f>(F70*'Emission Factors'!$B$126)+(G70)+(H70*'Emission Factors'!$C$126)</f>
        <v>0</v>
      </c>
      <c r="J70" s="227"/>
      <c r="K70" s="227"/>
      <c r="L70" s="33"/>
      <c r="W70" s="32"/>
      <c r="X70" s="33"/>
    </row>
    <row r="71" spans="1:24" ht="14.25" x14ac:dyDescent="0.2">
      <c r="A71" s="227"/>
      <c r="B71" s="2051"/>
      <c r="C71" s="2047"/>
      <c r="D71" s="265" t="s">
        <v>99</v>
      </c>
      <c r="E71" s="265">
        <v>3</v>
      </c>
      <c r="F71" s="474">
        <f>'Stationary Energy - Summary'!L17</f>
        <v>0</v>
      </c>
      <c r="G71" s="266">
        <f>'Stationary Energy - Summary'!M17</f>
        <v>0</v>
      </c>
      <c r="H71" s="266">
        <f>'Stationary Energy - Summary'!N17</f>
        <v>0</v>
      </c>
      <c r="I71" s="1406">
        <f>(F71*'Emission Factors'!$B$126)+(G71)+(H71*'Emission Factors'!$C$126)</f>
        <v>0</v>
      </c>
      <c r="J71" s="1447"/>
      <c r="K71" s="227"/>
      <c r="L71" s="33"/>
      <c r="W71" s="32"/>
      <c r="X71" s="33"/>
    </row>
    <row r="72" spans="1:24" ht="14.25" x14ac:dyDescent="0.2">
      <c r="A72" s="227"/>
      <c r="B72" s="2051"/>
      <c r="C72" s="2047"/>
      <c r="D72" s="265" t="s">
        <v>33</v>
      </c>
      <c r="E72" s="265">
        <v>1</v>
      </c>
      <c r="F72" s="474">
        <f>'Stationary Energy - Summary'!P17</f>
        <v>0</v>
      </c>
      <c r="G72" s="266">
        <f>'Stationary Energy - Summary'!Q17</f>
        <v>0</v>
      </c>
      <c r="H72" s="474">
        <f>'Stationary Energy - Summary'!R17</f>
        <v>0</v>
      </c>
      <c r="I72" s="1406">
        <f>(F72*'Emission Factors'!$B$126)+(G72)+(H72*'Emission Factors'!$C$126)</f>
        <v>0</v>
      </c>
      <c r="J72" s="227"/>
      <c r="K72" s="227"/>
      <c r="L72" s="33"/>
      <c r="W72" s="32"/>
      <c r="X72" s="33"/>
    </row>
    <row r="73" spans="1:24" ht="14.25" x14ac:dyDescent="0.2">
      <c r="A73" s="227"/>
      <c r="B73" s="2051"/>
      <c r="C73" s="2047"/>
      <c r="D73" s="265" t="s">
        <v>7</v>
      </c>
      <c r="E73" s="265">
        <v>1</v>
      </c>
      <c r="F73" s="1448"/>
      <c r="G73" s="266">
        <f>'Stationary Energy - Summary'!F17-'Stationary Energy - Summary'!F14</f>
        <v>0</v>
      </c>
      <c r="H73" s="1448"/>
      <c r="I73" s="1406">
        <f>(F73*'Emission Factors'!$B$126)+(G73)+(H73*'Emission Factors'!$C$126)</f>
        <v>0</v>
      </c>
      <c r="J73" s="227"/>
      <c r="K73" s="227"/>
      <c r="L73" s="33"/>
      <c r="W73" s="32"/>
      <c r="X73" s="33"/>
    </row>
    <row r="74" spans="1:24" ht="14.25" x14ac:dyDescent="0.2">
      <c r="A74" s="227"/>
      <c r="B74" s="2051"/>
      <c r="C74" s="2047"/>
      <c r="D74" s="267" t="s">
        <v>261</v>
      </c>
      <c r="E74" s="267">
        <v>1</v>
      </c>
      <c r="F74" s="268">
        <f>'Stationary Energy - Summary'!E17</f>
        <v>0</v>
      </c>
      <c r="G74" s="268">
        <f>'Stationary Energy - Summary'!F14</f>
        <v>0</v>
      </c>
      <c r="H74" s="1451"/>
      <c r="I74" s="1407">
        <f>(F74*'Emission Factors'!$B$126)+(G74)+(H74*'Emission Factors'!$C$126)</f>
        <v>0</v>
      </c>
      <c r="J74" s="227"/>
      <c r="K74" s="227"/>
      <c r="L74" s="33"/>
      <c r="W74" s="32"/>
      <c r="X74" s="33"/>
    </row>
    <row r="75" spans="1:24" ht="14.25" x14ac:dyDescent="0.2">
      <c r="A75" s="227"/>
      <c r="B75" s="2051"/>
      <c r="C75" s="2048" t="s">
        <v>571</v>
      </c>
      <c r="D75" s="269" t="s">
        <v>6</v>
      </c>
      <c r="E75" s="269">
        <v>2</v>
      </c>
      <c r="F75" s="270">
        <f>'Stationary Energy - Summary'!H25</f>
        <v>0</v>
      </c>
      <c r="G75" s="270">
        <f>'Stationary Energy - Summary'!I25</f>
        <v>0</v>
      </c>
      <c r="H75" s="270">
        <f>'Stationary Energy - Summary'!J25</f>
        <v>0</v>
      </c>
      <c r="I75" s="1408">
        <f>(F75*'Emission Factors'!$B$126)+(G75)+(H75*'Emission Factors'!$C$126)</f>
        <v>0</v>
      </c>
      <c r="J75" s="227"/>
      <c r="K75" s="227"/>
      <c r="L75" s="33"/>
      <c r="W75" s="32"/>
      <c r="X75" s="33"/>
    </row>
    <row r="76" spans="1:24" ht="14.25" x14ac:dyDescent="0.2">
      <c r="A76" s="227"/>
      <c r="B76" s="2051"/>
      <c r="C76" s="2047"/>
      <c r="D76" s="265" t="s">
        <v>99</v>
      </c>
      <c r="E76" s="265">
        <v>3</v>
      </c>
      <c r="F76" s="266">
        <f>'Stationary Energy - Summary'!L25</f>
        <v>0</v>
      </c>
      <c r="G76" s="266">
        <f>'Stationary Energy - Summary'!M25</f>
        <v>0</v>
      </c>
      <c r="H76" s="266">
        <f>'Stationary Energy - Summary'!N25</f>
        <v>0</v>
      </c>
      <c r="I76" s="1406">
        <f>(F76*'Emission Factors'!$B$126)+(G76)+(H76*'Emission Factors'!$C$126)</f>
        <v>0</v>
      </c>
      <c r="J76" s="227"/>
      <c r="K76" s="227"/>
      <c r="L76" s="33"/>
      <c r="W76" s="32"/>
      <c r="X76" s="33"/>
    </row>
    <row r="77" spans="1:24" ht="14.25" x14ac:dyDescent="0.2">
      <c r="A77" s="227"/>
      <c r="B77" s="2051"/>
      <c r="C77" s="2047"/>
      <c r="D77" s="271" t="s">
        <v>33</v>
      </c>
      <c r="E77" s="271">
        <v>1</v>
      </c>
      <c r="F77" s="1423">
        <f>'Stationary Energy - Summary'!P25</f>
        <v>0</v>
      </c>
      <c r="G77" s="272">
        <f>'Stationary Energy - Summary'!Q25</f>
        <v>0</v>
      </c>
      <c r="H77" s="1424">
        <f>'Stationary Energy - Summary'!R25</f>
        <v>0</v>
      </c>
      <c r="I77" s="1409">
        <f>(F77*'Emission Factors'!$B$126)+(G77)+(H77*'Emission Factors'!$C$126)</f>
        <v>0</v>
      </c>
      <c r="J77" s="227"/>
      <c r="K77" s="227"/>
      <c r="L77" s="33"/>
      <c r="W77" s="32"/>
      <c r="X77" s="33"/>
    </row>
    <row r="78" spans="1:24" ht="14.25" x14ac:dyDescent="0.2">
      <c r="A78" s="227"/>
      <c r="B78" s="2051"/>
      <c r="C78" s="2047"/>
      <c r="D78" s="265" t="s">
        <v>7</v>
      </c>
      <c r="E78" s="265">
        <v>1</v>
      </c>
      <c r="F78" s="1448"/>
      <c r="G78" s="266">
        <f>'Stationary Energy - Summary'!F25-'Stationary Energy - Summary'!F21</f>
        <v>0</v>
      </c>
      <c r="H78" s="1448"/>
      <c r="I78" s="1406">
        <f>(F78*'Emission Factors'!$B$126)+(G78)+(H78*'Emission Factors'!$C$126)</f>
        <v>0</v>
      </c>
      <c r="J78" s="227"/>
      <c r="K78" s="227"/>
      <c r="L78" s="33"/>
      <c r="W78" s="32"/>
      <c r="X78" s="33"/>
    </row>
    <row r="79" spans="1:24" ht="14.25" x14ac:dyDescent="0.2">
      <c r="A79" s="227"/>
      <c r="B79" s="2051"/>
      <c r="C79" s="2047"/>
      <c r="D79" s="271" t="s">
        <v>261</v>
      </c>
      <c r="E79" s="271">
        <v>1</v>
      </c>
      <c r="F79" s="272">
        <f>'Stationary Energy - Summary'!E25</f>
        <v>0</v>
      </c>
      <c r="G79" s="272">
        <f>'Stationary Energy - Summary'!F21</f>
        <v>0</v>
      </c>
      <c r="H79" s="1448"/>
      <c r="I79" s="1406">
        <f>(F79*'Emission Factors'!$B$126)+(G79)+(H79*'Emission Factors'!$C$126)</f>
        <v>0</v>
      </c>
      <c r="J79" s="227"/>
      <c r="K79" s="227"/>
      <c r="L79" s="33"/>
      <c r="W79" s="32"/>
      <c r="X79" s="33"/>
    </row>
    <row r="80" spans="1:24" ht="14.25" x14ac:dyDescent="0.2">
      <c r="A80" s="227"/>
      <c r="B80" s="2051"/>
      <c r="C80" s="2049"/>
      <c r="D80" s="267" t="s">
        <v>217</v>
      </c>
      <c r="E80" s="267">
        <v>1</v>
      </c>
      <c r="F80" s="473" t="e">
        <f>'Stationary Energy - Summary'!S25</f>
        <v>#DIV/0!</v>
      </c>
      <c r="G80" s="268" t="e">
        <f>'Stationary Energy - Summary'!T25</f>
        <v>#DIV/0!</v>
      </c>
      <c r="H80" s="1448"/>
      <c r="I80" s="1407" t="e">
        <f>(F80*'Emission Factors'!$B$126)+(G80)+(H80*'Emission Factors'!$C$126)</f>
        <v>#DIV/0!</v>
      </c>
      <c r="J80" s="227"/>
      <c r="K80" s="227"/>
      <c r="L80" s="33"/>
      <c r="W80" s="32"/>
      <c r="X80" s="33"/>
    </row>
    <row r="81" spans="1:24" ht="15" thickBot="1" x14ac:dyDescent="0.25">
      <c r="A81" s="227"/>
      <c r="B81" s="2052"/>
      <c r="C81" s="1397" t="s">
        <v>589</v>
      </c>
      <c r="D81" s="1398" t="s">
        <v>217</v>
      </c>
      <c r="E81" s="1398">
        <v>1</v>
      </c>
      <c r="F81" s="1399" t="e">
        <f>'Stationary Energy - Summary'!S27</f>
        <v>#DIV/0!</v>
      </c>
      <c r="G81" s="1400" t="e">
        <f>'Stationary Energy - Summary'!T27</f>
        <v>#DIV/0!</v>
      </c>
      <c r="H81" s="1449"/>
      <c r="I81" s="1410" t="e">
        <f>(F81*'Emission Factors'!$B$126)+(G81)+(H81*'Emission Factors'!$C$126)</f>
        <v>#DIV/0!</v>
      </c>
      <c r="J81" s="227"/>
      <c r="K81" s="227"/>
      <c r="L81" s="33"/>
      <c r="W81" s="32"/>
      <c r="X81" s="33"/>
    </row>
    <row r="82" spans="1:24" ht="14.25" x14ac:dyDescent="0.2">
      <c r="A82" s="227"/>
      <c r="B82" s="2070" t="s">
        <v>10</v>
      </c>
      <c r="C82" s="2053" t="s">
        <v>18</v>
      </c>
      <c r="D82" s="274" t="s">
        <v>54</v>
      </c>
      <c r="E82" s="274">
        <v>1</v>
      </c>
      <c r="F82" s="1456"/>
      <c r="G82" s="467">
        <f>'Transportation - Summary'!I11</f>
        <v>0</v>
      </c>
      <c r="H82" s="1450"/>
      <c r="I82" s="1411">
        <f>(F82*'Emission Factors'!$B$126)+(G82)+(H82*'Emission Factors'!$C$126)</f>
        <v>0</v>
      </c>
      <c r="J82" s="227"/>
      <c r="K82" s="227"/>
      <c r="L82" s="33"/>
      <c r="W82" s="32"/>
      <c r="X82" s="33"/>
    </row>
    <row r="83" spans="1:24" ht="14.25" x14ac:dyDescent="0.2">
      <c r="A83" s="227"/>
      <c r="B83" s="2057"/>
      <c r="C83" s="2054"/>
      <c r="D83" s="275" t="s">
        <v>8</v>
      </c>
      <c r="E83" s="275">
        <v>1</v>
      </c>
      <c r="F83" s="475" t="e">
        <f>'Transportation - Summary'!H12</f>
        <v>#DIV/0!</v>
      </c>
      <c r="G83" s="468" t="e">
        <f>'Transportation - Summary'!I12</f>
        <v>#DIV/0!</v>
      </c>
      <c r="H83" s="475" t="e">
        <f>'Transportation - Summary'!J12</f>
        <v>#DIV/0!</v>
      </c>
      <c r="I83" s="1411" t="e">
        <f>(F83*'Emission Factors'!$B$126)+(G83)+(H83*'Emission Factors'!$C$126)</f>
        <v>#DIV/0!</v>
      </c>
      <c r="J83" s="227"/>
      <c r="K83" s="227"/>
      <c r="L83" s="33"/>
      <c r="W83" s="32"/>
      <c r="X83" s="33"/>
    </row>
    <row r="84" spans="1:24" ht="14.25" x14ac:dyDescent="0.2">
      <c r="A84" s="227"/>
      <c r="B84" s="2057"/>
      <c r="C84" s="2054"/>
      <c r="D84" s="275" t="s">
        <v>6</v>
      </c>
      <c r="E84" s="275">
        <v>2</v>
      </c>
      <c r="F84" s="476" t="e">
        <f>'Transportation - Summary'!H13</f>
        <v>#DIV/0!</v>
      </c>
      <c r="G84" s="468" t="e">
        <f>'Transportation - Summary'!I13</f>
        <v>#DIV/0!</v>
      </c>
      <c r="H84" s="476" t="e">
        <f>'Transportation - Summary'!J13</f>
        <v>#DIV/0!</v>
      </c>
      <c r="I84" s="1411" t="e">
        <f>(F84*'Emission Factors'!$B$126)+(G84)+(H84*'Emission Factors'!$C$126)</f>
        <v>#DIV/0!</v>
      </c>
      <c r="J84" s="227"/>
      <c r="K84" s="227"/>
      <c r="L84" s="33"/>
      <c r="W84" s="32"/>
      <c r="X84" s="33"/>
    </row>
    <row r="85" spans="1:24" ht="14.25" x14ac:dyDescent="0.2">
      <c r="A85" s="227"/>
      <c r="B85" s="2057"/>
      <c r="C85" s="2054"/>
      <c r="D85" s="275" t="s">
        <v>99</v>
      </c>
      <c r="E85" s="275">
        <v>3</v>
      </c>
      <c r="F85" s="477" t="e">
        <f>'Transportation - Summary'!H14</f>
        <v>#DIV/0!</v>
      </c>
      <c r="G85" s="468" t="e">
        <f>'Transportation - Summary'!I14</f>
        <v>#DIV/0!</v>
      </c>
      <c r="H85" s="477" t="e">
        <f>'Transportation - Summary'!J14</f>
        <v>#DIV/0!</v>
      </c>
      <c r="I85" s="1411" t="e">
        <f>(F85*'Emission Factors'!$B$126)+(G85)+(H85*'Emission Factors'!$C$126)</f>
        <v>#DIV/0!</v>
      </c>
      <c r="J85" s="227"/>
      <c r="K85" s="227"/>
      <c r="L85" s="33"/>
      <c r="W85" s="32"/>
      <c r="X85" s="33"/>
    </row>
    <row r="86" spans="1:24" ht="14.25" x14ac:dyDescent="0.2">
      <c r="A86" s="227"/>
      <c r="B86" s="2057"/>
      <c r="C86" s="2049"/>
      <c r="D86" s="276" t="s">
        <v>9</v>
      </c>
      <c r="E86" s="276">
        <v>1</v>
      </c>
      <c r="F86" s="478" t="e">
        <f>'Transportation - Summary'!H15</f>
        <v>#DIV/0!</v>
      </c>
      <c r="G86" s="469" t="e">
        <f>'Transportation - Summary'!I15</f>
        <v>#DIV/0!</v>
      </c>
      <c r="H86" s="478" t="e">
        <f>'Transportation - Summary'!J15</f>
        <v>#DIV/0!</v>
      </c>
      <c r="I86" s="1412" t="e">
        <f>(F86*'Emission Factors'!$B$126)+(G86)+(H86*'Emission Factors'!$C$126)</f>
        <v>#DIV/0!</v>
      </c>
      <c r="J86" s="227"/>
      <c r="K86" s="227"/>
      <c r="L86" s="33"/>
      <c r="W86" s="32"/>
      <c r="X86" s="33"/>
    </row>
    <row r="87" spans="1:24" ht="14.25" x14ac:dyDescent="0.2">
      <c r="A87" s="227"/>
      <c r="B87" s="2057"/>
      <c r="C87" s="2072" t="s">
        <v>219</v>
      </c>
      <c r="D87" s="277" t="s">
        <v>8</v>
      </c>
      <c r="E87" s="277">
        <v>1</v>
      </c>
      <c r="F87" s="479">
        <f>'Transportation - Summary'!H17</f>
        <v>0</v>
      </c>
      <c r="G87" s="479">
        <f>'Transportation - Summary'!I17</f>
        <v>0</v>
      </c>
      <c r="H87" s="479">
        <f>'Transportation - Summary'!J17</f>
        <v>0</v>
      </c>
      <c r="I87" s="1411">
        <f>(F87*'Emission Factors'!$B$126)+(G87)+(H87*'Emission Factors'!$C$126)</f>
        <v>0</v>
      </c>
      <c r="J87" s="227"/>
      <c r="K87" s="227"/>
      <c r="L87" s="33"/>
      <c r="W87" s="32"/>
      <c r="X87" s="33"/>
    </row>
    <row r="88" spans="1:24" ht="14.25" x14ac:dyDescent="0.2">
      <c r="A88" s="227"/>
      <c r="B88" s="2057"/>
      <c r="C88" s="2054"/>
      <c r="D88" s="275" t="s">
        <v>6</v>
      </c>
      <c r="E88" s="275">
        <v>2</v>
      </c>
      <c r="F88" s="475">
        <f>'Transportation - Summary'!H18</f>
        <v>0</v>
      </c>
      <c r="G88" s="468">
        <f>'Transportation - Summary'!I18</f>
        <v>0</v>
      </c>
      <c r="H88" s="475">
        <f>'Transportation - Summary'!J18</f>
        <v>0</v>
      </c>
      <c r="I88" s="1413">
        <f>(F88*'Emission Factors'!$B$126)+(G88)+(H88*'Emission Factors'!$C$126)</f>
        <v>0</v>
      </c>
      <c r="J88" s="227"/>
      <c r="K88" s="227"/>
      <c r="L88" s="33"/>
      <c r="W88" s="32"/>
      <c r="X88" s="33"/>
    </row>
    <row r="89" spans="1:24" ht="15" thickBot="1" x14ac:dyDescent="0.25">
      <c r="A89" s="227"/>
      <c r="B89" s="2058"/>
      <c r="C89" s="2049"/>
      <c r="D89" s="276" t="s">
        <v>99</v>
      </c>
      <c r="E89" s="276">
        <v>3</v>
      </c>
      <c r="F89" s="480">
        <f>'Transportation - Summary'!H19</f>
        <v>0</v>
      </c>
      <c r="G89" s="469">
        <f>'Transportation - Summary'!I19</f>
        <v>0</v>
      </c>
      <c r="H89" s="480">
        <f>'Transportation - Summary'!J19</f>
        <v>0</v>
      </c>
      <c r="I89" s="1414">
        <f>(F89*'Emission Factors'!$B$126)+(G89)+(H89*'Emission Factors'!$C$126)</f>
        <v>0</v>
      </c>
      <c r="J89" s="227"/>
      <c r="K89" s="227"/>
      <c r="L89" s="33"/>
      <c r="W89" s="32"/>
      <c r="X89" s="33"/>
    </row>
    <row r="90" spans="1:24" ht="14.25" x14ac:dyDescent="0.2">
      <c r="A90" s="227"/>
      <c r="B90" s="2062" t="s">
        <v>17</v>
      </c>
      <c r="C90" s="280" t="s">
        <v>13</v>
      </c>
      <c r="D90" s="281" t="s">
        <v>232</v>
      </c>
      <c r="E90" s="281">
        <v>3</v>
      </c>
      <c r="F90" s="470">
        <f>'Waste - Summary'!G11</f>
        <v>0</v>
      </c>
      <c r="G90" s="1452"/>
      <c r="H90" s="1453"/>
      <c r="I90" s="1415">
        <f>(F90*'Emission Factors'!$B$126)+(G90)+(H90*'Emission Factors'!$C$126)</f>
        <v>0</v>
      </c>
      <c r="J90" s="227"/>
      <c r="K90" s="227"/>
      <c r="L90" s="33"/>
      <c r="W90" s="32"/>
      <c r="X90" s="33"/>
    </row>
    <row r="91" spans="1:24" ht="14.25" x14ac:dyDescent="0.2">
      <c r="A91" s="227"/>
      <c r="B91" s="2063"/>
      <c r="C91" s="1401" t="s">
        <v>1071</v>
      </c>
      <c r="D91" s="465" t="s">
        <v>1383</v>
      </c>
      <c r="E91" s="465">
        <v>3</v>
      </c>
      <c r="F91" s="471">
        <f>'Waste - Summary'!G12</f>
        <v>0</v>
      </c>
      <c r="G91" s="1454"/>
      <c r="H91" s="481">
        <f>'Waste - Summary'!I12</f>
        <v>0</v>
      </c>
      <c r="I91" s="1416">
        <f>(F91*'Emission Factors'!$B$126)+(G91)+(H91*'Emission Factors'!$C$126)</f>
        <v>0</v>
      </c>
      <c r="J91" s="227"/>
      <c r="K91" s="227"/>
      <c r="L91" s="33"/>
      <c r="W91" s="32"/>
      <c r="X91" s="33"/>
    </row>
    <row r="92" spans="1:24" ht="14.25" x14ac:dyDescent="0.2">
      <c r="A92" s="227"/>
      <c r="B92" s="2063"/>
      <c r="C92" s="1417" t="s">
        <v>215</v>
      </c>
      <c r="D92" s="465" t="s">
        <v>233</v>
      </c>
      <c r="E92" s="465">
        <v>3</v>
      </c>
      <c r="F92" s="482">
        <f>'Waste - Summary'!G13</f>
        <v>0</v>
      </c>
      <c r="G92" s="471">
        <f>'Waste - Summary'!H13</f>
        <v>0</v>
      </c>
      <c r="H92" s="481">
        <f>'Waste - Summary'!I13</f>
        <v>0</v>
      </c>
      <c r="I92" s="1416">
        <f>(F92*'Emission Factors'!$B$126)+(G92)+(H92*'Emission Factors'!$C$126)</f>
        <v>0</v>
      </c>
      <c r="J92" s="227"/>
      <c r="K92" s="227"/>
      <c r="L92" s="33"/>
      <c r="W92" s="32"/>
      <c r="X92" s="33"/>
    </row>
    <row r="93" spans="1:24" ht="15" thickBot="1" x14ac:dyDescent="0.25">
      <c r="A93" s="227"/>
      <c r="B93" s="2071"/>
      <c r="C93" s="1418" t="s">
        <v>216</v>
      </c>
      <c r="D93" s="1403" t="s">
        <v>212</v>
      </c>
      <c r="E93" s="1403">
        <v>3</v>
      </c>
      <c r="F93" s="1404">
        <f>'Waste - Summary'!G14</f>
        <v>0</v>
      </c>
      <c r="G93" s="1455"/>
      <c r="H93" s="1526">
        <f>'Waste - Summary'!I14</f>
        <v>0</v>
      </c>
      <c r="I93" s="1419">
        <f>(F93*'Emission Factors'!$B$126)+(G93)+(H93*'Emission Factors'!$C$126)</f>
        <v>0</v>
      </c>
      <c r="J93" s="227"/>
      <c r="K93" s="227"/>
      <c r="L93" s="33"/>
      <c r="W93" s="32"/>
      <c r="X93" s="33"/>
    </row>
    <row r="94" spans="1:24" ht="15" thickBot="1" x14ac:dyDescent="0.25">
      <c r="A94" s="227"/>
      <c r="B94" s="2065" t="s">
        <v>310</v>
      </c>
      <c r="C94" s="2066"/>
      <c r="D94" s="2066"/>
      <c r="E94" s="2067"/>
      <c r="F94" s="472" t="e">
        <f>SUM(F70:F93)</f>
        <v>#DIV/0!</v>
      </c>
      <c r="G94" s="472" t="e">
        <f>SUM(G70:G93)</f>
        <v>#DIV/0!</v>
      </c>
      <c r="H94" s="483" t="e">
        <f>SUM(H70:H93)</f>
        <v>#DIV/0!</v>
      </c>
      <c r="I94" s="1420" t="e">
        <f>SUM(I70:I93)</f>
        <v>#DIV/0!</v>
      </c>
      <c r="J94" s="227"/>
      <c r="K94" s="227"/>
      <c r="L94" s="33"/>
      <c r="W94" s="32"/>
      <c r="X94" s="33"/>
    </row>
    <row r="95" spans="1:24" ht="15" thickBot="1" x14ac:dyDescent="0.25">
      <c r="A95" s="227"/>
      <c r="B95" s="228"/>
      <c r="C95" s="228"/>
      <c r="D95" s="228"/>
      <c r="E95" s="228"/>
      <c r="F95" s="1527"/>
      <c r="G95" s="1527"/>
      <c r="H95" s="1528"/>
      <c r="I95" s="301"/>
      <c r="J95" s="227"/>
      <c r="K95" s="227"/>
      <c r="L95" s="33"/>
      <c r="W95" s="32"/>
      <c r="X95" s="33"/>
    </row>
    <row r="96" spans="1:24" ht="15.75" thickBot="1" x14ac:dyDescent="0.3">
      <c r="A96" s="227"/>
      <c r="B96" s="2045" t="s">
        <v>1497</v>
      </c>
      <c r="C96" s="2118"/>
      <c r="D96" s="2118"/>
      <c r="E96" s="2118"/>
      <c r="F96" s="2119"/>
      <c r="G96" s="227"/>
      <c r="H96" s="227"/>
      <c r="I96" s="227"/>
      <c r="J96" s="227"/>
      <c r="K96" s="227"/>
      <c r="L96" s="33"/>
      <c r="M96" s="33"/>
    </row>
    <row r="97" spans="1:24" ht="26.25" thickBot="1" x14ac:dyDescent="0.25">
      <c r="A97" s="227"/>
      <c r="B97" s="466" t="s">
        <v>85</v>
      </c>
      <c r="C97" s="495" t="s">
        <v>5</v>
      </c>
      <c r="D97" s="324" t="s">
        <v>1381</v>
      </c>
      <c r="E97" s="324" t="s">
        <v>1382</v>
      </c>
      <c r="F97" s="325" t="s">
        <v>93</v>
      </c>
      <c r="G97" s="227"/>
      <c r="H97" s="227"/>
      <c r="I97" s="227"/>
      <c r="J97" s="227"/>
      <c r="K97" s="227"/>
      <c r="L97" s="33"/>
      <c r="M97" s="33"/>
    </row>
    <row r="98" spans="1:24" ht="14.25" x14ac:dyDescent="0.2">
      <c r="A98" s="227"/>
      <c r="B98" s="2115" t="s">
        <v>196</v>
      </c>
      <c r="C98" s="1457" t="s">
        <v>312</v>
      </c>
      <c r="D98" s="1458" t="e">
        <f>('Stationary Energy - Summary'!G17)*'Emission Factors'!D140</f>
        <v>#DIV/0!</v>
      </c>
      <c r="E98" s="1458">
        <f>'All Emissions - Summary'!I70</f>
        <v>0</v>
      </c>
      <c r="F98" s="1459" t="e">
        <f>E98/(SUM($E$98:$E$103))</f>
        <v>#DIV/0!</v>
      </c>
      <c r="G98" s="286"/>
      <c r="H98" s="228"/>
      <c r="I98" s="228"/>
      <c r="J98" s="228"/>
      <c r="K98" s="285"/>
      <c r="L98" s="33"/>
      <c r="M98" s="33"/>
    </row>
    <row r="99" spans="1:24" ht="14.25" x14ac:dyDescent="0.2">
      <c r="A99" s="227"/>
      <c r="B99" s="2116"/>
      <c r="C99" s="1460" t="s">
        <v>313</v>
      </c>
      <c r="D99" s="1461">
        <f>('Stationary Energy - Summary'!D17-'Stationary Energy - Summary'!D14)*'Emission Factors'!D148</f>
        <v>0</v>
      </c>
      <c r="E99" s="1461">
        <f>'All Emissions - Summary'!I73</f>
        <v>0</v>
      </c>
      <c r="F99" s="1462" t="e">
        <f t="shared" ref="F99:F106" si="4">E99/(SUM($E$98:$E$103))</f>
        <v>#DIV/0!</v>
      </c>
      <c r="G99" s="287"/>
      <c r="H99" s="228"/>
      <c r="I99" s="228"/>
      <c r="J99" s="228"/>
      <c r="K99" s="285"/>
      <c r="L99" s="33"/>
      <c r="M99" s="33"/>
    </row>
    <row r="100" spans="1:24" ht="15" thickBot="1" x14ac:dyDescent="0.25">
      <c r="A100" s="227"/>
      <c r="B100" s="2117"/>
      <c r="C100" s="1463" t="s">
        <v>314</v>
      </c>
      <c r="D100" s="1464">
        <f>'Stationary Energy - Summary'!O17*'Emission Factors'!D137</f>
        <v>0</v>
      </c>
      <c r="E100" s="1464">
        <f>'All Emissions - Summary'!I72</f>
        <v>0</v>
      </c>
      <c r="F100" s="1465" t="e">
        <f t="shared" si="4"/>
        <v>#DIV/0!</v>
      </c>
      <c r="G100" s="286"/>
      <c r="H100" s="228"/>
      <c r="I100" s="228"/>
      <c r="J100" s="228"/>
      <c r="K100" s="285"/>
      <c r="L100" s="33"/>
      <c r="M100" s="33"/>
    </row>
    <row r="101" spans="1:24" ht="14.25" x14ac:dyDescent="0.2">
      <c r="A101" s="227"/>
      <c r="B101" s="2115" t="s">
        <v>1616</v>
      </c>
      <c r="C101" s="1457" t="s">
        <v>315</v>
      </c>
      <c r="D101" s="1458" t="e">
        <f>('Stationary Energy - Summary'!G25+'Stationary Energy - Summary'!G27)*'Emission Factors'!D140</f>
        <v>#DIV/0!</v>
      </c>
      <c r="E101" s="1458">
        <f>'All Emissions - Summary'!I75</f>
        <v>0</v>
      </c>
      <c r="F101" s="1459" t="e">
        <f t="shared" si="4"/>
        <v>#DIV/0!</v>
      </c>
      <c r="G101" s="286"/>
      <c r="H101" s="228"/>
      <c r="I101" s="264"/>
      <c r="J101" s="264"/>
      <c r="K101" s="285"/>
      <c r="L101" s="33"/>
      <c r="M101" s="33"/>
    </row>
    <row r="102" spans="1:24" ht="14.25" x14ac:dyDescent="0.2">
      <c r="A102" s="227"/>
      <c r="B102" s="2116"/>
      <c r="C102" s="1460" t="s">
        <v>316</v>
      </c>
      <c r="D102" s="1466">
        <f>('Stationary Energy - Summary'!D25-'Stationary Energy - Summary'!D21)*'Emission Factors'!D148</f>
        <v>0</v>
      </c>
      <c r="E102" s="1466">
        <f>'All Emissions - Summary'!I78</f>
        <v>0</v>
      </c>
      <c r="F102" s="1467" t="e">
        <f t="shared" si="4"/>
        <v>#DIV/0!</v>
      </c>
      <c r="G102" s="287"/>
      <c r="H102" s="228"/>
      <c r="I102" s="228"/>
      <c r="J102" s="228"/>
      <c r="K102" s="285"/>
      <c r="L102" s="33"/>
      <c r="M102" s="33"/>
    </row>
    <row r="103" spans="1:24" ht="35.25" customHeight="1" thickBot="1" x14ac:dyDescent="0.25">
      <c r="A103" s="227"/>
      <c r="B103" s="2117"/>
      <c r="C103" s="1468" t="s">
        <v>317</v>
      </c>
      <c r="D103" s="1469">
        <f>('Stationary Energy - Summary'!O25)*'Emission Factors'!D137</f>
        <v>0</v>
      </c>
      <c r="E103" s="1469">
        <f>'All Emissions - Summary'!I77</f>
        <v>0</v>
      </c>
      <c r="F103" s="1470" t="e">
        <f t="shared" si="4"/>
        <v>#DIV/0!</v>
      </c>
      <c r="G103" s="286"/>
      <c r="H103" s="228"/>
      <c r="I103" s="228"/>
      <c r="J103" s="228"/>
      <c r="K103" s="285"/>
      <c r="L103" s="33"/>
      <c r="M103" s="33"/>
    </row>
    <row r="104" spans="1:24" ht="14.25" x14ac:dyDescent="0.2">
      <c r="A104" s="227"/>
      <c r="B104" s="2115" t="s">
        <v>311</v>
      </c>
      <c r="C104" s="1471" t="s">
        <v>6</v>
      </c>
      <c r="D104" s="1458" t="e">
        <f>SUM(D98,D101)</f>
        <v>#DIV/0!</v>
      </c>
      <c r="E104" s="1458">
        <f>SUM(E98,E101)</f>
        <v>0</v>
      </c>
      <c r="F104" s="1459" t="e">
        <f t="shared" si="4"/>
        <v>#DIV/0!</v>
      </c>
      <c r="G104" s="286"/>
      <c r="H104" s="228"/>
      <c r="I104" s="228"/>
      <c r="J104" s="228"/>
      <c r="K104" s="285"/>
      <c r="L104" s="33"/>
      <c r="M104" s="33"/>
    </row>
    <row r="105" spans="1:24" ht="14.25" x14ac:dyDescent="0.2">
      <c r="A105" s="227"/>
      <c r="B105" s="2116"/>
      <c r="C105" s="1472" t="s">
        <v>7</v>
      </c>
      <c r="D105" s="1461">
        <f>SUM(D99,D102)</f>
        <v>0</v>
      </c>
      <c r="E105" s="1473">
        <f t="shared" ref="E105:E106" si="5">SUM(E99,E102)</f>
        <v>0</v>
      </c>
      <c r="F105" s="1462" t="e">
        <f t="shared" si="4"/>
        <v>#DIV/0!</v>
      </c>
      <c r="G105" s="287"/>
      <c r="H105" s="228"/>
      <c r="I105" s="228"/>
      <c r="J105" s="228"/>
      <c r="K105" s="285"/>
      <c r="L105" s="33"/>
      <c r="M105" s="33"/>
    </row>
    <row r="106" spans="1:24" ht="15" thickBot="1" x14ac:dyDescent="0.25">
      <c r="A106" s="227"/>
      <c r="B106" s="2117"/>
      <c r="C106" s="1474" t="s">
        <v>33</v>
      </c>
      <c r="D106" s="273">
        <f>SUM(D100,D103)</f>
        <v>0</v>
      </c>
      <c r="E106" s="273">
        <f t="shared" si="5"/>
        <v>0</v>
      </c>
      <c r="F106" s="1475" t="e">
        <f t="shared" si="4"/>
        <v>#DIV/0!</v>
      </c>
      <c r="G106" s="286"/>
      <c r="H106" s="228"/>
      <c r="I106" s="228"/>
      <c r="J106" s="228"/>
      <c r="K106" s="285"/>
      <c r="L106" s="33"/>
      <c r="M106" s="33"/>
    </row>
    <row r="107" spans="1:24" ht="30" customHeight="1" thickBot="1" x14ac:dyDescent="0.25">
      <c r="A107" s="227"/>
      <c r="B107" s="2112" t="s">
        <v>1620</v>
      </c>
      <c r="C107" s="2113"/>
      <c r="D107" s="2113"/>
      <c r="E107" s="2114"/>
      <c r="F107" s="228"/>
      <c r="G107" s="286"/>
      <c r="H107" s="228"/>
      <c r="I107" s="228"/>
      <c r="J107" s="228"/>
      <c r="K107" s="285"/>
      <c r="L107" s="33"/>
      <c r="M107" s="33"/>
    </row>
    <row r="108" spans="1:24" ht="15" thickBot="1" x14ac:dyDescent="0.25">
      <c r="A108" s="227"/>
      <c r="B108" s="228"/>
      <c r="C108" s="228"/>
      <c r="D108" s="228"/>
      <c r="E108" s="228"/>
      <c r="F108" s="264"/>
      <c r="G108" s="286"/>
      <c r="H108" s="228"/>
      <c r="I108" s="228"/>
      <c r="J108" s="228"/>
      <c r="K108" s="285"/>
      <c r="L108" s="33"/>
      <c r="M108" s="33"/>
    </row>
    <row r="109" spans="1:24" ht="21.75" customHeight="1" thickBot="1" x14ac:dyDescent="0.3">
      <c r="A109" s="227"/>
      <c r="B109" s="2045" t="s">
        <v>1439</v>
      </c>
      <c r="C109" s="1965"/>
      <c r="D109" s="1965"/>
      <c r="E109" s="1966"/>
      <c r="F109" s="227"/>
      <c r="G109" s="227"/>
      <c r="H109" s="285"/>
      <c r="I109" s="227"/>
      <c r="J109" s="33"/>
      <c r="K109" s="33"/>
      <c r="L109" s="33"/>
      <c r="M109" s="33"/>
      <c r="N109" s="33"/>
      <c r="O109" s="33"/>
      <c r="P109" s="33"/>
      <c r="Q109" s="33"/>
      <c r="R109" s="33"/>
      <c r="S109" s="33"/>
      <c r="T109" s="33"/>
      <c r="U109" s="33"/>
      <c r="V109" s="33"/>
      <c r="W109" s="33"/>
      <c r="X109" s="33"/>
    </row>
    <row r="110" spans="1:24" ht="32.25" customHeight="1" x14ac:dyDescent="0.2">
      <c r="A110" s="227"/>
      <c r="B110" s="1441" t="s">
        <v>85</v>
      </c>
      <c r="C110" s="1442" t="s">
        <v>5</v>
      </c>
      <c r="D110" s="1442" t="s">
        <v>218</v>
      </c>
      <c r="E110" s="1443" t="s">
        <v>1386</v>
      </c>
      <c r="G110" s="227"/>
      <c r="H110" s="285"/>
      <c r="I110" s="227"/>
      <c r="J110" s="33"/>
      <c r="K110" s="33"/>
      <c r="L110" s="33"/>
      <c r="M110" s="33"/>
      <c r="N110" s="33"/>
      <c r="O110" s="33"/>
      <c r="P110" s="33"/>
      <c r="Q110" s="33"/>
      <c r="R110" s="33"/>
      <c r="S110" s="33"/>
      <c r="T110" s="33"/>
      <c r="U110" s="33"/>
      <c r="V110" s="33"/>
      <c r="W110" s="33"/>
      <c r="X110" s="33"/>
    </row>
    <row r="111" spans="1:24" ht="15.75" x14ac:dyDescent="0.2">
      <c r="A111" s="227"/>
      <c r="B111" s="1444" t="s">
        <v>318</v>
      </c>
      <c r="C111" s="1445" t="s">
        <v>12</v>
      </c>
      <c r="D111" s="1445">
        <v>1</v>
      </c>
      <c r="E111" s="1446">
        <f>'Stationary Energy - Summary'!E32</f>
        <v>0</v>
      </c>
      <c r="H111" s="33"/>
      <c r="I111" s="33"/>
      <c r="J111" s="33"/>
      <c r="K111" s="33"/>
      <c r="L111" s="33"/>
      <c r="M111" s="33"/>
      <c r="N111" s="33"/>
      <c r="O111" s="33"/>
      <c r="P111" s="33"/>
      <c r="Q111" s="33"/>
      <c r="R111" s="33"/>
      <c r="S111" s="33"/>
      <c r="T111" s="33"/>
      <c r="U111" s="33"/>
      <c r="V111" s="33"/>
      <c r="W111" s="33"/>
      <c r="X111" s="33"/>
    </row>
    <row r="112" spans="1:24" ht="131.25" customHeight="1" thickBot="1" x14ac:dyDescent="0.25">
      <c r="A112" s="227"/>
      <c r="B112" s="2059" t="s">
        <v>1400</v>
      </c>
      <c r="C112" s="2060"/>
      <c r="D112" s="2060"/>
      <c r="E112" s="2061"/>
      <c r="G112" s="227"/>
      <c r="H112" s="285"/>
      <c r="I112" s="227"/>
      <c r="J112" s="33"/>
      <c r="K112" s="33"/>
      <c r="L112" s="33"/>
      <c r="M112" s="33"/>
      <c r="N112" s="33"/>
      <c r="O112" s="33"/>
      <c r="P112" s="33"/>
      <c r="Q112" s="33"/>
      <c r="R112" s="33"/>
      <c r="S112" s="33"/>
      <c r="T112" s="33"/>
      <c r="U112" s="33"/>
      <c r="V112" s="33"/>
      <c r="W112" s="33"/>
      <c r="X112" s="33"/>
    </row>
    <row r="113" spans="1:24" ht="15" thickBot="1" x14ac:dyDescent="0.25">
      <c r="A113" s="227"/>
      <c r="F113" s="227"/>
      <c r="G113" s="228"/>
      <c r="H113" s="228"/>
      <c r="I113" s="33"/>
      <c r="P113" s="32"/>
      <c r="Q113" s="33"/>
      <c r="R113" s="33"/>
      <c r="S113" s="33"/>
      <c r="T113" s="33"/>
      <c r="U113" s="33"/>
      <c r="V113" s="33"/>
      <c r="W113" s="33"/>
      <c r="X113" s="33"/>
    </row>
    <row r="114" spans="1:24" ht="15.75" thickBot="1" x14ac:dyDescent="0.3">
      <c r="A114" s="227"/>
      <c r="B114" s="2045" t="s">
        <v>1440</v>
      </c>
      <c r="C114" s="1966"/>
      <c r="D114" s="227"/>
      <c r="E114" s="227"/>
      <c r="F114" s="228"/>
      <c r="G114" s="228"/>
      <c r="H114" s="33"/>
      <c r="O114" s="32"/>
      <c r="P114" s="33"/>
      <c r="Q114" s="33"/>
      <c r="R114" s="33"/>
      <c r="S114" s="33"/>
      <c r="T114" s="33"/>
      <c r="U114" s="33"/>
      <c r="V114" s="33"/>
      <c r="W114" s="33"/>
      <c r="X114" s="33"/>
    </row>
    <row r="115" spans="1:24" ht="14.25" x14ac:dyDescent="0.2">
      <c r="A115" s="227"/>
      <c r="B115" s="1434" t="s">
        <v>196</v>
      </c>
      <c r="C115" s="1435" t="e">
        <f t="shared" ref="C115:C123" si="6">D28/$D$37</f>
        <v>#DIV/0!</v>
      </c>
      <c r="E115" s="227"/>
      <c r="F115" s="288"/>
      <c r="G115" s="288"/>
      <c r="H115" s="35"/>
      <c r="I115" s="35"/>
      <c r="L115" s="33"/>
      <c r="S115" s="32"/>
      <c r="T115" s="33"/>
      <c r="U115" s="33"/>
      <c r="V115" s="33"/>
      <c r="W115" s="33"/>
      <c r="X115" s="33"/>
    </row>
    <row r="116" spans="1:24" ht="14.25" x14ac:dyDescent="0.2">
      <c r="A116" s="227"/>
      <c r="B116" s="1436" t="s">
        <v>1385</v>
      </c>
      <c r="C116" s="1437" t="e">
        <f t="shared" si="6"/>
        <v>#DIV/0!</v>
      </c>
      <c r="D116" s="288"/>
      <c r="E116" s="227"/>
      <c r="F116" s="227"/>
      <c r="G116" s="227"/>
      <c r="H116" s="227"/>
      <c r="I116" s="288"/>
      <c r="J116" s="35"/>
      <c r="K116" s="35"/>
      <c r="L116" s="35"/>
      <c r="V116" s="32"/>
      <c r="W116" s="33"/>
      <c r="X116" s="33"/>
    </row>
    <row r="117" spans="1:24" ht="14.25" x14ac:dyDescent="0.2">
      <c r="A117" s="227"/>
      <c r="B117" s="1436" t="s">
        <v>589</v>
      </c>
      <c r="C117" s="1437" t="e">
        <f t="shared" si="6"/>
        <v>#DIV/0!</v>
      </c>
      <c r="D117" s="227"/>
      <c r="E117" s="288"/>
      <c r="F117" s="288"/>
      <c r="G117" s="288"/>
      <c r="H117" s="228"/>
      <c r="I117" s="228"/>
      <c r="L117" s="33"/>
      <c r="M117" s="33"/>
      <c r="N117" s="33"/>
      <c r="O117" s="33"/>
      <c r="P117" s="33"/>
      <c r="Q117" s="33"/>
      <c r="R117" s="33"/>
      <c r="S117" s="33"/>
      <c r="T117" s="33"/>
      <c r="U117" s="33"/>
      <c r="V117" s="33"/>
      <c r="W117" s="33"/>
      <c r="X117" s="33"/>
    </row>
    <row r="118" spans="1:24" ht="14.25" x14ac:dyDescent="0.2">
      <c r="A118" s="227"/>
      <c r="B118" s="1438" t="s">
        <v>18</v>
      </c>
      <c r="C118" s="1437" t="e">
        <f t="shared" si="6"/>
        <v>#DIV/0!</v>
      </c>
      <c r="D118" s="227"/>
      <c r="E118" s="228"/>
      <c r="F118" s="228"/>
      <c r="G118" s="228"/>
      <c r="H118" s="228"/>
      <c r="I118" s="228"/>
      <c r="L118" s="33"/>
      <c r="M118" s="33"/>
      <c r="V118" s="32"/>
      <c r="W118" s="33"/>
      <c r="X118" s="33"/>
    </row>
    <row r="119" spans="1:24" ht="14.25" x14ac:dyDescent="0.2">
      <c r="A119" s="227"/>
      <c r="B119" s="1439" t="s">
        <v>213</v>
      </c>
      <c r="C119" s="1437" t="e">
        <f t="shared" si="6"/>
        <v>#DIV/0!</v>
      </c>
      <c r="D119" s="227"/>
      <c r="E119" s="227"/>
      <c r="F119" s="228"/>
      <c r="G119" s="228"/>
      <c r="H119" s="228"/>
      <c r="I119" s="228"/>
      <c r="M119" s="33"/>
      <c r="V119" s="32"/>
      <c r="W119" s="33"/>
      <c r="X119" s="33"/>
    </row>
    <row r="120" spans="1:24" ht="14.25" x14ac:dyDescent="0.2">
      <c r="A120" s="227"/>
      <c r="B120" s="1440" t="s">
        <v>214</v>
      </c>
      <c r="C120" s="1437" t="e">
        <f t="shared" si="6"/>
        <v>#DIV/0!</v>
      </c>
      <c r="D120" s="227"/>
      <c r="E120" s="227"/>
      <c r="F120" s="228"/>
      <c r="G120" s="228"/>
      <c r="H120" s="228"/>
      <c r="I120" s="228"/>
      <c r="V120" s="32"/>
      <c r="W120" s="33"/>
      <c r="X120" s="33"/>
    </row>
    <row r="121" spans="1:24" ht="14.25" x14ac:dyDescent="0.2">
      <c r="A121" s="227"/>
      <c r="B121" s="1440" t="s">
        <v>1071</v>
      </c>
      <c r="C121" s="1437" t="e">
        <f t="shared" si="6"/>
        <v>#DIV/0!</v>
      </c>
      <c r="D121" s="227"/>
      <c r="E121" s="227"/>
      <c r="F121" s="228"/>
      <c r="G121" s="228"/>
      <c r="H121" s="228"/>
      <c r="I121" s="228"/>
      <c r="V121" s="32"/>
      <c r="W121" s="33"/>
      <c r="X121" s="33"/>
    </row>
    <row r="122" spans="1:24" ht="14.25" x14ac:dyDescent="0.2">
      <c r="A122" s="227"/>
      <c r="B122" s="1440" t="s">
        <v>215</v>
      </c>
      <c r="C122" s="1437" t="e">
        <f t="shared" si="6"/>
        <v>#DIV/0!</v>
      </c>
      <c r="D122" s="227"/>
      <c r="E122" s="227"/>
      <c r="F122" s="228"/>
      <c r="G122" s="228"/>
      <c r="H122" s="228"/>
      <c r="I122" s="228"/>
      <c r="V122" s="32"/>
      <c r="W122" s="33"/>
      <c r="X122" s="33"/>
    </row>
    <row r="123" spans="1:24" ht="15" thickBot="1" x14ac:dyDescent="0.25">
      <c r="A123" s="227"/>
      <c r="B123" s="1476" t="s">
        <v>216</v>
      </c>
      <c r="C123" s="1477" t="e">
        <f t="shared" si="6"/>
        <v>#DIV/0!</v>
      </c>
      <c r="D123" s="227"/>
      <c r="E123" s="227"/>
      <c r="F123" s="228"/>
      <c r="G123" s="228"/>
      <c r="H123" s="228"/>
      <c r="I123" s="228"/>
      <c r="V123" s="32"/>
      <c r="W123" s="33"/>
      <c r="X123" s="33"/>
    </row>
    <row r="124" spans="1:24" ht="15" thickBot="1" x14ac:dyDescent="0.25">
      <c r="A124" s="227"/>
      <c r="B124" s="227"/>
      <c r="C124" s="227"/>
      <c r="D124" s="227"/>
      <c r="E124" s="227"/>
      <c r="F124" s="228"/>
      <c r="G124" s="228"/>
      <c r="H124" s="228"/>
      <c r="I124" s="228"/>
      <c r="V124" s="32"/>
      <c r="W124" s="33"/>
      <c r="X124" s="33"/>
    </row>
    <row r="125" spans="1:24" ht="15.75" customHeight="1" thickBot="1" x14ac:dyDescent="0.3">
      <c r="A125" s="227"/>
      <c r="B125" s="2137" t="s">
        <v>1630</v>
      </c>
      <c r="C125" s="2138"/>
      <c r="D125" s="2139"/>
      <c r="E125" s="28"/>
      <c r="F125" s="28"/>
      <c r="G125" s="28"/>
      <c r="H125" s="228"/>
      <c r="I125" s="228"/>
      <c r="V125" s="32"/>
      <c r="W125" s="33"/>
      <c r="X125" s="33"/>
    </row>
    <row r="126" spans="1:24" ht="15.75" thickBot="1" x14ac:dyDescent="0.3">
      <c r="A126" s="44"/>
      <c r="B126" s="1779" t="s">
        <v>0</v>
      </c>
      <c r="C126" s="238" t="s">
        <v>85</v>
      </c>
      <c r="D126" s="240" t="s">
        <v>234</v>
      </c>
      <c r="E126" s="45"/>
      <c r="F126" s="45"/>
      <c r="G126" s="31"/>
      <c r="S126" s="32"/>
      <c r="T126" s="33"/>
      <c r="U126" s="33"/>
      <c r="V126" s="33"/>
      <c r="W126" s="33"/>
      <c r="X126" s="33"/>
    </row>
    <row r="127" spans="1:24" ht="15" x14ac:dyDescent="0.25">
      <c r="A127" s="44"/>
      <c r="B127" s="2121" t="s">
        <v>195</v>
      </c>
      <c r="C127" s="241" t="s">
        <v>196</v>
      </c>
      <c r="D127" s="1829">
        <f>D28</f>
        <v>0</v>
      </c>
      <c r="E127" s="45"/>
      <c r="F127" s="45"/>
      <c r="G127" s="45"/>
      <c r="T127" s="32"/>
      <c r="U127" s="33"/>
      <c r="V127" s="33"/>
      <c r="W127" s="33"/>
      <c r="X127" s="33"/>
    </row>
    <row r="128" spans="1:24" ht="15" x14ac:dyDescent="0.25">
      <c r="A128" s="44"/>
      <c r="B128" s="2122"/>
      <c r="C128" s="245" t="s">
        <v>1632</v>
      </c>
      <c r="D128" s="1830" t="e">
        <f>D29-D129</f>
        <v>#DIV/0!</v>
      </c>
      <c r="E128" s="45"/>
      <c r="F128" s="45"/>
      <c r="G128" s="45"/>
      <c r="T128" s="32"/>
      <c r="U128" s="33"/>
      <c r="V128" s="33"/>
      <c r="W128" s="33"/>
      <c r="X128" s="33"/>
    </row>
    <row r="129" spans="1:24" ht="15" x14ac:dyDescent="0.25">
      <c r="A129" s="44"/>
      <c r="B129" s="2122"/>
      <c r="C129" s="245" t="s">
        <v>1615</v>
      </c>
      <c r="D129" s="1830">
        <f>D19</f>
        <v>0</v>
      </c>
      <c r="E129" s="45"/>
      <c r="F129" s="45"/>
      <c r="G129" s="45"/>
      <c r="T129" s="32"/>
      <c r="U129" s="33"/>
      <c r="V129" s="33"/>
      <c r="W129" s="33"/>
      <c r="X129" s="33"/>
    </row>
    <row r="130" spans="1:24" ht="15" x14ac:dyDescent="0.25">
      <c r="A130" s="44"/>
      <c r="B130" s="2122"/>
      <c r="C130" s="245" t="s">
        <v>589</v>
      </c>
      <c r="D130" s="1830" t="e">
        <f>D30</f>
        <v>#DIV/0!</v>
      </c>
      <c r="E130" s="45"/>
      <c r="F130" s="45"/>
      <c r="G130" s="45"/>
      <c r="T130" s="32"/>
      <c r="U130" s="33"/>
      <c r="V130" s="33"/>
      <c r="W130" s="33"/>
      <c r="X130" s="33"/>
    </row>
    <row r="131" spans="1:24" ht="15" x14ac:dyDescent="0.25">
      <c r="A131" s="44"/>
      <c r="B131" s="2123" t="s">
        <v>10</v>
      </c>
      <c r="C131" s="249" t="s">
        <v>46</v>
      </c>
      <c r="D131" s="251" t="e">
        <f>SUM('Transportation - On Road'!Q39:Q43)+'Transportation - On Road'!I96</f>
        <v>#DIV/0!</v>
      </c>
      <c r="E131" s="45"/>
      <c r="F131" s="45"/>
      <c r="G131" s="45"/>
      <c r="H131" s="45"/>
      <c r="U131" s="32"/>
      <c r="V131" s="33"/>
      <c r="W131" s="33"/>
      <c r="X131" s="33"/>
    </row>
    <row r="132" spans="1:24" ht="15" x14ac:dyDescent="0.25">
      <c r="A132" s="44"/>
      <c r="B132" s="2140"/>
      <c r="C132" s="1822" t="s">
        <v>51</v>
      </c>
      <c r="D132" s="1823" t="e">
        <f>SUM('Transportation - On Road'!Q50:Q54)+'Transportation - On Road'!I97-D133</f>
        <v>#DIV/0!</v>
      </c>
      <c r="E132" s="45"/>
      <c r="F132" s="45"/>
      <c r="G132" s="45"/>
      <c r="H132" s="45"/>
      <c r="U132" s="32"/>
      <c r="V132" s="33"/>
      <c r="W132" s="33"/>
      <c r="X132" s="33"/>
    </row>
    <row r="133" spans="1:24" ht="15" x14ac:dyDescent="0.25">
      <c r="A133" s="44"/>
      <c r="B133" s="2140"/>
      <c r="C133" s="1824" t="s">
        <v>1634</v>
      </c>
      <c r="D133" s="1826">
        <f>D20</f>
        <v>0</v>
      </c>
      <c r="E133" s="45"/>
      <c r="F133" s="45"/>
      <c r="G133" s="45"/>
      <c r="H133" s="45"/>
      <c r="U133" s="32"/>
      <c r="V133" s="33"/>
      <c r="W133" s="33"/>
      <c r="X133" s="33"/>
    </row>
    <row r="134" spans="1:24" ht="15" x14ac:dyDescent="0.25">
      <c r="A134" s="44"/>
      <c r="B134" s="2140"/>
      <c r="C134" s="1825" t="s">
        <v>1635</v>
      </c>
      <c r="D134" s="1827" t="e">
        <f>D31-(SUM(D131:D133))</f>
        <v>#DIV/0!</v>
      </c>
      <c r="E134" s="45"/>
      <c r="F134" s="45"/>
      <c r="G134" s="45"/>
      <c r="H134" s="45"/>
      <c r="U134" s="32"/>
      <c r="V134" s="33"/>
      <c r="W134" s="33"/>
      <c r="X134" s="33"/>
    </row>
    <row r="135" spans="1:24" ht="15" x14ac:dyDescent="0.25">
      <c r="A135" s="44"/>
      <c r="B135" s="2124"/>
      <c r="C135" s="252" t="s">
        <v>213</v>
      </c>
      <c r="D135" s="254">
        <f>D32</f>
        <v>0</v>
      </c>
      <c r="E135" s="45"/>
      <c r="F135" s="45"/>
      <c r="G135" s="45"/>
      <c r="H135" s="45"/>
      <c r="U135" s="32"/>
      <c r="V135" s="33"/>
      <c r="W135" s="33"/>
      <c r="X135" s="33"/>
    </row>
    <row r="136" spans="1:24" x14ac:dyDescent="0.2">
      <c r="B136" s="2125" t="s">
        <v>17</v>
      </c>
      <c r="C136" s="255" t="s">
        <v>214</v>
      </c>
      <c r="D136" s="257">
        <f>D33</f>
        <v>0</v>
      </c>
      <c r="E136" s="31"/>
      <c r="F136" s="31"/>
      <c r="G136" s="31"/>
      <c r="U136" s="32"/>
      <c r="V136" s="33"/>
      <c r="W136" s="33"/>
      <c r="X136" s="33"/>
    </row>
    <row r="137" spans="1:24" x14ac:dyDescent="0.2">
      <c r="B137" s="2126"/>
      <c r="C137" s="1431" t="s">
        <v>1071</v>
      </c>
      <c r="D137" s="1433">
        <f t="shared" ref="D137:D139" si="7">D34</f>
        <v>0</v>
      </c>
      <c r="E137" s="31"/>
      <c r="F137" s="31"/>
      <c r="G137" s="31"/>
      <c r="U137" s="32"/>
      <c r="V137" s="33"/>
      <c r="W137" s="33"/>
      <c r="X137" s="33"/>
    </row>
    <row r="138" spans="1:24" x14ac:dyDescent="0.2">
      <c r="B138" s="2127"/>
      <c r="C138" s="258" t="s">
        <v>215</v>
      </c>
      <c r="D138" s="260">
        <f t="shared" si="7"/>
        <v>0</v>
      </c>
      <c r="E138" s="31"/>
      <c r="F138" s="31"/>
      <c r="G138" s="31"/>
      <c r="U138" s="32"/>
      <c r="V138" s="33"/>
      <c r="W138" s="33"/>
      <c r="X138" s="33"/>
    </row>
    <row r="139" spans="1:24" x14ac:dyDescent="0.2">
      <c r="B139" s="2128"/>
      <c r="C139" s="261" t="s">
        <v>216</v>
      </c>
      <c r="D139" s="233">
        <f t="shared" si="7"/>
        <v>0</v>
      </c>
      <c r="E139" s="31"/>
      <c r="F139" s="31"/>
      <c r="G139" s="31"/>
      <c r="U139" s="32"/>
      <c r="V139" s="33"/>
      <c r="W139" s="33"/>
      <c r="X139" s="33"/>
    </row>
    <row r="140" spans="1:24" ht="13.5" thickBot="1" x14ac:dyDescent="0.25">
      <c r="B140" s="2129" t="s">
        <v>238</v>
      </c>
      <c r="C140" s="2130"/>
      <c r="D140" s="296" t="e">
        <f>SUM(D127:D139)</f>
        <v>#DIV/0!</v>
      </c>
      <c r="E140" s="31"/>
      <c r="F140" s="31"/>
      <c r="G140" s="31"/>
      <c r="U140" s="32"/>
      <c r="V140" s="33"/>
      <c r="W140" s="33"/>
      <c r="X140" s="33"/>
    </row>
    <row r="141" spans="1:24" x14ac:dyDescent="0.2">
      <c r="B141" s="2135" t="s">
        <v>1633</v>
      </c>
      <c r="C141" s="2135"/>
      <c r="D141" s="2135"/>
      <c r="E141" s="2136"/>
      <c r="F141" s="2136"/>
      <c r="G141" s="2136"/>
    </row>
    <row r="142" spans="1:24" ht="13.5" thickBot="1" x14ac:dyDescent="0.25"/>
    <row r="143" spans="1:24" ht="33" customHeight="1" thickBot="1" x14ac:dyDescent="0.3">
      <c r="B143" s="2045" t="s">
        <v>1631</v>
      </c>
      <c r="C143" s="1966"/>
    </row>
    <row r="144" spans="1:24" x14ac:dyDescent="0.2">
      <c r="B144" s="1434" t="s">
        <v>196</v>
      </c>
      <c r="C144" s="1435" t="e">
        <f>D127/$D$140</f>
        <v>#DIV/0!</v>
      </c>
    </row>
    <row r="145" spans="2:3" x14ac:dyDescent="0.2">
      <c r="B145" s="1436" t="s">
        <v>1385</v>
      </c>
      <c r="C145" s="1437" t="e">
        <f t="shared" ref="C145:C150" si="8">D128/$D$140</f>
        <v>#DIV/0!</v>
      </c>
    </row>
    <row r="146" spans="2:3" x14ac:dyDescent="0.2">
      <c r="B146" s="1436" t="s">
        <v>1615</v>
      </c>
      <c r="C146" s="1437" t="e">
        <f t="shared" si="8"/>
        <v>#DIV/0!</v>
      </c>
    </row>
    <row r="147" spans="2:3" x14ac:dyDescent="0.2">
      <c r="B147" s="1436" t="s">
        <v>589</v>
      </c>
      <c r="C147" s="1437" t="e">
        <f t="shared" si="8"/>
        <v>#DIV/0!</v>
      </c>
    </row>
    <row r="148" spans="2:3" x14ac:dyDescent="0.2">
      <c r="B148" s="1438" t="s">
        <v>46</v>
      </c>
      <c r="C148" s="1437" t="e">
        <f t="shared" si="8"/>
        <v>#DIV/0!</v>
      </c>
    </row>
    <row r="149" spans="2:3" x14ac:dyDescent="0.2">
      <c r="B149" s="1438" t="s">
        <v>51</v>
      </c>
      <c r="C149" s="1437" t="e">
        <f t="shared" si="8"/>
        <v>#DIV/0!</v>
      </c>
    </row>
    <row r="150" spans="2:3" x14ac:dyDescent="0.2">
      <c r="B150" s="1438" t="s">
        <v>1634</v>
      </c>
      <c r="C150" s="1437" t="e">
        <f t="shared" si="8"/>
        <v>#DIV/0!</v>
      </c>
    </row>
    <row r="151" spans="2:3" ht="25.5" x14ac:dyDescent="0.2">
      <c r="B151" s="1876" t="s">
        <v>1648</v>
      </c>
      <c r="C151" s="1437" t="e">
        <f>(D134+D135)/$D$140</f>
        <v>#DIV/0!</v>
      </c>
    </row>
    <row r="152" spans="2:3" ht="25.5" x14ac:dyDescent="0.2">
      <c r="B152" s="1875" t="s">
        <v>1647</v>
      </c>
      <c r="C152" s="1437" t="e">
        <f>(SUM(D136:D138))/$D$140</f>
        <v>#DIV/0!</v>
      </c>
    </row>
    <row r="153" spans="2:3" ht="13.5" thickBot="1" x14ac:dyDescent="0.25">
      <c r="B153" s="1476" t="s">
        <v>216</v>
      </c>
      <c r="C153" s="1477" t="e">
        <f>D139/$D$140</f>
        <v>#DIV/0!</v>
      </c>
    </row>
    <row r="154" spans="2:3" x14ac:dyDescent="0.2">
      <c r="B154" s="33" t="s">
        <v>1649</v>
      </c>
    </row>
  </sheetData>
  <mergeCells count="63">
    <mergeCell ref="B143:C143"/>
    <mergeCell ref="B141:G141"/>
    <mergeCell ref="B125:D125"/>
    <mergeCell ref="B127:B130"/>
    <mergeCell ref="B131:B135"/>
    <mergeCell ref="B136:B139"/>
    <mergeCell ref="B140:C140"/>
    <mergeCell ref="G68:G69"/>
    <mergeCell ref="H68:H69"/>
    <mergeCell ref="I68:I69"/>
    <mergeCell ref="B39:F39"/>
    <mergeCell ref="C41:C45"/>
    <mergeCell ref="B20:C20"/>
    <mergeCell ref="B21:C21"/>
    <mergeCell ref="C46:C51"/>
    <mergeCell ref="B28:B30"/>
    <mergeCell ref="B31:B32"/>
    <mergeCell ref="B33:B36"/>
    <mergeCell ref="B37:C37"/>
    <mergeCell ref="B41:B52"/>
    <mergeCell ref="B94:E94"/>
    <mergeCell ref="B107:E107"/>
    <mergeCell ref="B101:B103"/>
    <mergeCell ref="B96:F96"/>
    <mergeCell ref="B104:B106"/>
    <mergeCell ref="B98:B100"/>
    <mergeCell ref="B2:F2"/>
    <mergeCell ref="C3:F3"/>
    <mergeCell ref="C4:F4"/>
    <mergeCell ref="B26:G26"/>
    <mergeCell ref="B12:C12"/>
    <mergeCell ref="B13:C13"/>
    <mergeCell ref="B14:C14"/>
    <mergeCell ref="B15:C15"/>
    <mergeCell ref="B8:F8"/>
    <mergeCell ref="B10:G10"/>
    <mergeCell ref="B11:C11"/>
    <mergeCell ref="B7:F7"/>
    <mergeCell ref="C5:F5"/>
    <mergeCell ref="B17:G17"/>
    <mergeCell ref="B18:C18"/>
    <mergeCell ref="B19:C19"/>
    <mergeCell ref="C82:C86"/>
    <mergeCell ref="C87:C89"/>
    <mergeCell ref="C68:C69"/>
    <mergeCell ref="B68:B69"/>
    <mergeCell ref="F68:F69"/>
    <mergeCell ref="B114:C114"/>
    <mergeCell ref="C70:C74"/>
    <mergeCell ref="C75:C80"/>
    <mergeCell ref="B70:B81"/>
    <mergeCell ref="C53:C57"/>
    <mergeCell ref="C58:C60"/>
    <mergeCell ref="B53:B60"/>
    <mergeCell ref="B112:E112"/>
    <mergeCell ref="B61:B64"/>
    <mergeCell ref="B65:E65"/>
    <mergeCell ref="B109:E109"/>
    <mergeCell ref="B67:I67"/>
    <mergeCell ref="E68:E69"/>
    <mergeCell ref="D68:D69"/>
    <mergeCell ref="B82:B89"/>
    <mergeCell ref="B90:B93"/>
  </mergeCells>
  <pageMargins left="0.7" right="0.7" top="0.75" bottom="0.75" header="0.3" footer="0.3"/>
  <pageSetup orientation="portrait" r:id="rId1"/>
  <ignoredErrors>
    <ignoredError sqref="E99:E100 E102 D34 G34"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X41"/>
  <sheetViews>
    <sheetView showGridLines="0" topLeftCell="A7" zoomScaleNormal="100" workbookViewId="0">
      <selection activeCell="H20" sqref="H20"/>
    </sheetView>
  </sheetViews>
  <sheetFormatPr defaultRowHeight="12.75" x14ac:dyDescent="0.2"/>
  <cols>
    <col min="1" max="1" width="2.7109375" style="33" customWidth="1"/>
    <col min="2" max="2" width="36.42578125" style="33" customWidth="1"/>
    <col min="3" max="3" width="37.5703125" style="33" customWidth="1"/>
    <col min="4" max="7" width="20.7109375" style="33" customWidth="1"/>
    <col min="8" max="8" width="20.7109375" style="31" customWidth="1"/>
    <col min="9" max="9" width="34.42578125" style="31" customWidth="1"/>
    <col min="10" max="10" width="20.7109375" style="31" customWidth="1"/>
    <col min="11" max="13" width="12" style="31" customWidth="1"/>
    <col min="14" max="14" width="19" style="31" customWidth="1"/>
    <col min="15" max="15" width="11.7109375" style="31" customWidth="1"/>
    <col min="16" max="16" width="11.28515625" style="31" customWidth="1"/>
    <col min="17" max="17" width="13.42578125" style="31" customWidth="1"/>
    <col min="18" max="18" width="14.85546875" style="31" customWidth="1"/>
    <col min="19" max="20" width="10.5703125" style="31" customWidth="1"/>
    <col min="21" max="21" width="10.42578125" style="31" customWidth="1"/>
    <col min="22" max="22" width="9.28515625" style="31" bestFit="1" customWidth="1"/>
    <col min="23" max="23" width="17.7109375" style="31" customWidth="1"/>
    <col min="24" max="24" width="11.42578125" style="32" customWidth="1"/>
    <col min="25" max="25" width="9.28515625" style="33" bestFit="1" customWidth="1"/>
    <col min="26" max="26" width="18.7109375" style="33" customWidth="1"/>
    <col min="27" max="16384" width="9.140625" style="33"/>
  </cols>
  <sheetData>
    <row r="1" spans="1:24" ht="13.5" thickBot="1" x14ac:dyDescent="0.25"/>
    <row r="2" spans="1:24" ht="24" customHeight="1" thickBot="1" x14ac:dyDescent="0.25">
      <c r="A2" s="227"/>
      <c r="B2" s="2074" t="s">
        <v>1426</v>
      </c>
      <c r="C2" s="2075"/>
      <c r="D2" s="2075"/>
      <c r="E2" s="2075"/>
      <c r="F2" s="2076"/>
      <c r="G2" s="228"/>
      <c r="H2" s="290"/>
      <c r="K2" s="228"/>
    </row>
    <row r="3" spans="1:24" ht="15" x14ac:dyDescent="0.25">
      <c r="A3" s="227"/>
      <c r="B3" s="224" t="s">
        <v>247</v>
      </c>
      <c r="C3" s="2077" t="s">
        <v>256</v>
      </c>
      <c r="D3" s="2078"/>
      <c r="E3" s="2078"/>
      <c r="F3" s="2079"/>
      <c r="G3" s="229"/>
      <c r="H3" s="229"/>
      <c r="I3" s="229"/>
      <c r="J3" s="228"/>
      <c r="K3" s="228"/>
    </row>
    <row r="4" spans="1:24" ht="15" x14ac:dyDescent="0.25">
      <c r="A4" s="227"/>
      <c r="B4" s="1537" t="s">
        <v>248</v>
      </c>
      <c r="C4" s="2080" t="s">
        <v>205</v>
      </c>
      <c r="D4" s="2081"/>
      <c r="E4" s="2081"/>
      <c r="F4" s="2082"/>
      <c r="G4" s="229"/>
      <c r="H4" s="229"/>
      <c r="I4" s="229"/>
      <c r="J4" s="228"/>
      <c r="K4" s="228"/>
    </row>
    <row r="5" spans="1:24" ht="14.25" customHeight="1" thickBot="1" x14ac:dyDescent="0.3">
      <c r="A5" s="227"/>
      <c r="B5" s="1538" t="s">
        <v>1402</v>
      </c>
      <c r="C5" s="2104" t="s">
        <v>1427</v>
      </c>
      <c r="D5" s="2105"/>
      <c r="E5" s="2105"/>
      <c r="F5" s="2106"/>
      <c r="G5" s="229"/>
      <c r="H5" s="229"/>
      <c r="I5" s="229"/>
      <c r="J5" s="228"/>
      <c r="K5" s="228"/>
    </row>
    <row r="6" spans="1:24" ht="12" customHeight="1" thickBot="1" x14ac:dyDescent="0.3">
      <c r="A6" s="227"/>
      <c r="B6" s="226"/>
      <c r="C6" s="230"/>
      <c r="D6" s="230"/>
      <c r="E6" s="230"/>
      <c r="F6" s="230"/>
      <c r="G6" s="229"/>
      <c r="H6" s="229"/>
      <c r="I6" s="229"/>
      <c r="J6" s="228"/>
      <c r="K6" s="228"/>
    </row>
    <row r="7" spans="1:24" ht="15.75" thickBot="1" x14ac:dyDescent="0.3">
      <c r="A7" s="227"/>
      <c r="B7" s="2101" t="s">
        <v>91</v>
      </c>
      <c r="C7" s="2102"/>
      <c r="D7" s="2102"/>
      <c r="E7" s="2102"/>
      <c r="F7" s="2103"/>
      <c r="G7" s="229"/>
      <c r="H7" s="229"/>
      <c r="I7" s="229"/>
      <c r="J7" s="228"/>
      <c r="K7" s="228"/>
    </row>
    <row r="8" spans="1:24" ht="71.25" customHeight="1" thickBot="1" x14ac:dyDescent="0.25">
      <c r="A8" s="227"/>
      <c r="B8" s="2093" t="s">
        <v>1429</v>
      </c>
      <c r="C8" s="2094"/>
      <c r="D8" s="2094"/>
      <c r="E8" s="2094"/>
      <c r="F8" s="2095"/>
      <c r="G8" s="85"/>
      <c r="H8" s="85"/>
      <c r="I8" s="85"/>
      <c r="J8" s="228"/>
      <c r="K8" s="228"/>
    </row>
    <row r="9" spans="1:24" ht="14.25" x14ac:dyDescent="0.2">
      <c r="A9" s="227"/>
      <c r="B9" s="85"/>
      <c r="C9" s="85"/>
      <c r="D9" s="85"/>
      <c r="E9" s="85"/>
      <c r="F9" s="228"/>
      <c r="G9" s="85"/>
      <c r="H9" s="85"/>
      <c r="I9" s="85"/>
      <c r="J9" s="228"/>
      <c r="K9" s="228"/>
      <c r="N9" s="299"/>
    </row>
    <row r="10" spans="1:24" ht="15" thickBot="1" x14ac:dyDescent="0.25">
      <c r="A10" s="227"/>
      <c r="B10" s="85"/>
      <c r="C10" s="85"/>
      <c r="D10" s="85"/>
      <c r="E10" s="85"/>
      <c r="F10" s="228"/>
      <c r="G10" s="85"/>
      <c r="H10" s="85"/>
      <c r="I10" s="85"/>
      <c r="J10" s="228"/>
      <c r="K10" s="228"/>
      <c r="N10" s="299"/>
    </row>
    <row r="11" spans="1:24" ht="15.75" customHeight="1" thickBot="1" x14ac:dyDescent="0.3">
      <c r="A11" s="227"/>
      <c r="B11" s="2141" t="s">
        <v>1473</v>
      </c>
      <c r="C11" s="2142"/>
      <c r="D11" s="2142"/>
      <c r="E11" s="2142"/>
      <c r="F11" s="2142"/>
      <c r="G11" s="2142"/>
      <c r="H11" s="2143"/>
      <c r="I11" s="231"/>
      <c r="J11" s="231"/>
      <c r="K11" s="34"/>
      <c r="L11" s="34"/>
      <c r="N11" s="299"/>
      <c r="W11" s="32"/>
      <c r="X11" s="33"/>
    </row>
    <row r="12" spans="1:24" ht="26.25" thickBot="1" x14ac:dyDescent="0.25">
      <c r="A12" s="227"/>
      <c r="B12" s="2099" t="s">
        <v>0</v>
      </c>
      <c r="C12" s="2100"/>
      <c r="D12" s="1534" t="s">
        <v>1422</v>
      </c>
      <c r="E12" s="1534" t="s">
        <v>1423</v>
      </c>
      <c r="F12" s="1534" t="s">
        <v>1423</v>
      </c>
      <c r="G12" s="1534" t="s">
        <v>1424</v>
      </c>
      <c r="H12" s="240" t="s">
        <v>1428</v>
      </c>
      <c r="I12" s="231"/>
      <c r="J12" s="34"/>
      <c r="K12" s="34"/>
      <c r="N12" s="299"/>
      <c r="V12" s="32"/>
      <c r="W12" s="33"/>
      <c r="X12" s="33"/>
    </row>
    <row r="13" spans="1:24" ht="14.25" x14ac:dyDescent="0.2">
      <c r="A13" s="227"/>
      <c r="B13" s="2144" t="s">
        <v>195</v>
      </c>
      <c r="C13" s="2145"/>
      <c r="D13" s="297"/>
      <c r="E13" s="297"/>
      <c r="F13" s="297"/>
      <c r="G13" s="297" t="e">
        <f>'All Emissions - Summary'!D12</f>
        <v>#DIV/0!</v>
      </c>
      <c r="H13" s="1550"/>
      <c r="I13" s="231"/>
      <c r="J13" s="34"/>
      <c r="K13" s="34"/>
      <c r="N13" s="299"/>
      <c r="V13" s="32"/>
      <c r="W13" s="33"/>
      <c r="X13" s="33"/>
    </row>
    <row r="14" spans="1:24" ht="14.25" x14ac:dyDescent="0.2">
      <c r="A14" s="227"/>
      <c r="B14" s="2146" t="s">
        <v>10</v>
      </c>
      <c r="C14" s="2147"/>
      <c r="D14" s="1551"/>
      <c r="E14" s="1551"/>
      <c r="F14" s="1551"/>
      <c r="G14" s="1551" t="e">
        <f>'All Emissions - Summary'!D13</f>
        <v>#DIV/0!</v>
      </c>
      <c r="H14" s="1552"/>
      <c r="I14" s="231"/>
      <c r="J14" s="34"/>
      <c r="K14" s="34"/>
      <c r="N14" s="299"/>
      <c r="V14" s="32"/>
      <c r="W14" s="33"/>
      <c r="X14" s="33"/>
    </row>
    <row r="15" spans="1:24" ht="14.25" x14ac:dyDescent="0.2">
      <c r="A15" s="227"/>
      <c r="B15" s="2148" t="s">
        <v>17</v>
      </c>
      <c r="C15" s="2149"/>
      <c r="D15" s="1553"/>
      <c r="E15" s="1553"/>
      <c r="F15" s="1553"/>
      <c r="G15" s="1553">
        <f>'All Emissions - Summary'!D14</f>
        <v>0</v>
      </c>
      <c r="H15" s="1554"/>
      <c r="I15" s="231"/>
      <c r="J15" s="34"/>
      <c r="K15" s="34"/>
      <c r="N15" s="299"/>
      <c r="V15" s="32"/>
      <c r="W15" s="33"/>
      <c r="X15" s="33"/>
    </row>
    <row r="16" spans="1:24" ht="15" thickBot="1" x14ac:dyDescent="0.25">
      <c r="A16" s="227"/>
      <c r="B16" s="2091" t="s">
        <v>239</v>
      </c>
      <c r="C16" s="2092"/>
      <c r="D16" s="295">
        <f>SUM(D13:D15)</f>
        <v>0</v>
      </c>
      <c r="E16" s="295">
        <f>SUM(E13:E15)</f>
        <v>0</v>
      </c>
      <c r="F16" s="295">
        <f>SUM(F13:F15)</f>
        <v>0</v>
      </c>
      <c r="G16" s="295" t="e">
        <f>SUM(G13:G15)</f>
        <v>#DIV/0!</v>
      </c>
      <c r="H16" s="1555"/>
      <c r="I16" s="231"/>
      <c r="J16" s="231"/>
      <c r="K16" s="34"/>
      <c r="L16" s="34"/>
      <c r="N16" s="299"/>
      <c r="O16" s="300"/>
      <c r="W16" s="32"/>
      <c r="X16" s="33"/>
    </row>
    <row r="17" spans="1:24" ht="15" thickBot="1" x14ac:dyDescent="0.25">
      <c r="A17" s="227"/>
      <c r="B17" s="1606"/>
      <c r="C17" s="1606"/>
      <c r="D17" s="1607"/>
      <c r="E17" s="1607"/>
      <c r="F17" s="1607"/>
      <c r="G17" s="1607"/>
      <c r="H17" s="1608"/>
      <c r="I17" s="231"/>
      <c r="J17" s="231"/>
      <c r="K17" s="34"/>
      <c r="L17" s="34"/>
      <c r="N17" s="299"/>
      <c r="O17" s="300"/>
      <c r="W17" s="32"/>
      <c r="X17" s="33"/>
    </row>
    <row r="18" spans="1:24" ht="15.75" thickBot="1" x14ac:dyDescent="0.3">
      <c r="A18" s="227"/>
      <c r="B18" s="2150" t="s">
        <v>1474</v>
      </c>
      <c r="C18" s="2151"/>
      <c r="D18" s="2151"/>
      <c r="E18" s="2151"/>
      <c r="F18" s="2151"/>
      <c r="G18" s="2151"/>
      <c r="H18" s="2152"/>
      <c r="I18" s="231"/>
      <c r="J18" s="231"/>
      <c r="K18" s="34"/>
      <c r="L18" s="34"/>
      <c r="N18" s="299"/>
      <c r="O18" s="300"/>
      <c r="W18" s="32"/>
      <c r="X18" s="33"/>
    </row>
    <row r="19" spans="1:24" ht="26.25" thickBot="1" x14ac:dyDescent="0.25">
      <c r="A19" s="227"/>
      <c r="B19" s="2110" t="s">
        <v>0</v>
      </c>
      <c r="C19" s="2111"/>
      <c r="D19" s="1572" t="s">
        <v>1422</v>
      </c>
      <c r="E19" s="1572" t="s">
        <v>1423</v>
      </c>
      <c r="F19" s="1572" t="s">
        <v>1423</v>
      </c>
      <c r="G19" s="1572" t="s">
        <v>1424</v>
      </c>
      <c r="H19" s="1573" t="s">
        <v>1428</v>
      </c>
      <c r="I19" s="231"/>
      <c r="J19" s="231"/>
      <c r="K19" s="34"/>
      <c r="L19" s="34"/>
      <c r="N19" s="299"/>
      <c r="O19" s="300"/>
      <c r="W19" s="32"/>
      <c r="X19" s="33"/>
    </row>
    <row r="20" spans="1:24" ht="14.25" x14ac:dyDescent="0.2">
      <c r="A20" s="227"/>
      <c r="B20" s="2144" t="s">
        <v>195</v>
      </c>
      <c r="C20" s="2145"/>
      <c r="D20" s="297"/>
      <c r="E20" s="297"/>
      <c r="F20" s="297"/>
      <c r="G20" s="297">
        <f>'All Emissions - Summary'!D19</f>
        <v>0</v>
      </c>
      <c r="H20" s="1550"/>
      <c r="I20" s="231"/>
      <c r="J20" s="231"/>
      <c r="K20" s="34"/>
      <c r="L20" s="34"/>
      <c r="N20" s="299"/>
      <c r="O20" s="300"/>
      <c r="W20" s="32"/>
      <c r="X20" s="33"/>
    </row>
    <row r="21" spans="1:24" ht="14.25" x14ac:dyDescent="0.2">
      <c r="A21" s="227"/>
      <c r="B21" s="2146" t="s">
        <v>10</v>
      </c>
      <c r="C21" s="2147"/>
      <c r="D21" s="1551"/>
      <c r="E21" s="1551"/>
      <c r="F21" s="1551"/>
      <c r="G21" s="1551">
        <f>'All Emissions - Summary'!D20</f>
        <v>0</v>
      </c>
      <c r="H21" s="1552"/>
      <c r="I21" s="231"/>
      <c r="J21" s="231"/>
      <c r="K21" s="34"/>
      <c r="L21" s="34"/>
      <c r="N21" s="299"/>
      <c r="O21" s="300"/>
      <c r="W21" s="32"/>
      <c r="X21" s="33"/>
    </row>
    <row r="22" spans="1:24" ht="15" thickBot="1" x14ac:dyDescent="0.25">
      <c r="A22" s="227"/>
      <c r="B22" s="2091" t="s">
        <v>239</v>
      </c>
      <c r="C22" s="2092"/>
      <c r="D22" s="295">
        <f>SUM(D20:D21)</f>
        <v>0</v>
      </c>
      <c r="E22" s="295">
        <f>SUM(E20:E21)</f>
        <v>0</v>
      </c>
      <c r="F22" s="295">
        <f>SUM(F20:F21)</f>
        <v>0</v>
      </c>
      <c r="G22" s="295">
        <f>SUM(G20:G21)</f>
        <v>0</v>
      </c>
      <c r="H22" s="1555"/>
      <c r="I22" s="231"/>
      <c r="J22" s="231"/>
      <c r="K22" s="34"/>
      <c r="L22" s="34"/>
      <c r="N22" s="299"/>
      <c r="O22" s="300"/>
      <c r="W22" s="32"/>
      <c r="X22" s="33"/>
    </row>
    <row r="23" spans="1:24" ht="15" thickBot="1" x14ac:dyDescent="0.25">
      <c r="A23" s="227"/>
      <c r="B23" s="1606"/>
      <c r="C23" s="1606"/>
      <c r="D23" s="1607"/>
      <c r="E23" s="1607"/>
      <c r="F23" s="1607"/>
      <c r="G23" s="1607"/>
      <c r="H23" s="1608"/>
      <c r="I23" s="231"/>
      <c r="J23" s="231"/>
      <c r="K23" s="34"/>
      <c r="L23" s="34"/>
      <c r="N23" s="299"/>
      <c r="O23" s="300"/>
      <c r="W23" s="32"/>
      <c r="X23" s="33"/>
    </row>
    <row r="24" spans="1:24" ht="15.75" thickBot="1" x14ac:dyDescent="0.3">
      <c r="A24" s="227"/>
      <c r="B24" s="2045" t="s">
        <v>1441</v>
      </c>
      <c r="C24" s="2083"/>
      <c r="D24" s="2083"/>
      <c r="E24" s="2083"/>
      <c r="F24" s="2083"/>
      <c r="G24" s="2083"/>
      <c r="H24" s="1966"/>
      <c r="I24" s="231"/>
      <c r="J24" s="231"/>
      <c r="K24" s="34"/>
      <c r="L24" s="34"/>
      <c r="N24" s="299"/>
      <c r="W24" s="32"/>
      <c r="X24" s="33"/>
    </row>
    <row r="25" spans="1:24" ht="26.25" thickBot="1" x14ac:dyDescent="0.25">
      <c r="A25" s="227"/>
      <c r="B25" s="1533" t="s">
        <v>0</v>
      </c>
      <c r="C25" s="238" t="s">
        <v>85</v>
      </c>
      <c r="D25" s="1534" t="s">
        <v>1422</v>
      </c>
      <c r="E25" s="1534" t="s">
        <v>1423</v>
      </c>
      <c r="F25" s="1534" t="s">
        <v>1423</v>
      </c>
      <c r="G25" s="1534" t="s">
        <v>1425</v>
      </c>
      <c r="H25" s="240" t="s">
        <v>1428</v>
      </c>
      <c r="I25" s="231"/>
      <c r="J25" s="231"/>
      <c r="K25" s="34"/>
      <c r="L25" s="34"/>
      <c r="N25" s="298"/>
      <c r="W25" s="32"/>
      <c r="X25" s="33"/>
    </row>
    <row r="26" spans="1:24" ht="14.25" x14ac:dyDescent="0.2">
      <c r="A26" s="227"/>
      <c r="B26" s="2121" t="s">
        <v>195</v>
      </c>
      <c r="C26" s="241" t="s">
        <v>196</v>
      </c>
      <c r="D26" s="242"/>
      <c r="E26" s="243"/>
      <c r="F26" s="243"/>
      <c r="G26" s="243">
        <f>'All Emissions - Summary'!D28</f>
        <v>0</v>
      </c>
      <c r="H26" s="1556"/>
      <c r="T26" s="32"/>
      <c r="U26" s="33"/>
      <c r="V26" s="33"/>
      <c r="W26" s="33"/>
      <c r="X26" s="33"/>
    </row>
    <row r="27" spans="1:24" ht="14.25" x14ac:dyDescent="0.2">
      <c r="A27" s="227"/>
      <c r="B27" s="2122"/>
      <c r="C27" s="245" t="s">
        <v>1385</v>
      </c>
      <c r="D27" s="246"/>
      <c r="E27" s="247"/>
      <c r="F27" s="247"/>
      <c r="G27" s="247" t="e">
        <f>'All Emissions - Summary'!D29</f>
        <v>#DIV/0!</v>
      </c>
      <c r="H27" s="1557"/>
      <c r="T27" s="32"/>
      <c r="U27" s="33"/>
      <c r="V27" s="33"/>
      <c r="W27" s="33"/>
      <c r="X27" s="33"/>
    </row>
    <row r="28" spans="1:24" ht="14.25" x14ac:dyDescent="0.2">
      <c r="A28" s="227"/>
      <c r="B28" s="2122"/>
      <c r="C28" s="245" t="s">
        <v>589</v>
      </c>
      <c r="D28" s="246"/>
      <c r="E28" s="247"/>
      <c r="F28" s="247"/>
      <c r="G28" s="247" t="e">
        <f>'All Emissions - Summary'!D30</f>
        <v>#DIV/0!</v>
      </c>
      <c r="H28" s="1557"/>
      <c r="T28" s="32"/>
      <c r="U28" s="33"/>
      <c r="V28" s="33"/>
      <c r="W28" s="33"/>
      <c r="X28" s="33"/>
    </row>
    <row r="29" spans="1:24" ht="14.25" x14ac:dyDescent="0.2">
      <c r="A29" s="227"/>
      <c r="B29" s="2123" t="s">
        <v>10</v>
      </c>
      <c r="C29" s="249" t="s">
        <v>18</v>
      </c>
      <c r="D29" s="250"/>
      <c r="E29" s="250"/>
      <c r="F29" s="250"/>
      <c r="G29" s="250" t="e">
        <f>'All Emissions - Summary'!D31</f>
        <v>#DIV/0!</v>
      </c>
      <c r="H29" s="1558"/>
      <c r="I29" s="33"/>
      <c r="J29" s="33"/>
      <c r="K29" s="33"/>
      <c r="T29" s="32"/>
      <c r="U29" s="33"/>
      <c r="V29" s="33"/>
      <c r="W29" s="33"/>
      <c r="X29" s="33"/>
    </row>
    <row r="30" spans="1:24" ht="14.25" x14ac:dyDescent="0.2">
      <c r="A30" s="227"/>
      <c r="B30" s="2124"/>
      <c r="C30" s="252" t="s">
        <v>213</v>
      </c>
      <c r="D30" s="253"/>
      <c r="E30" s="253"/>
      <c r="F30" s="253"/>
      <c r="G30" s="253">
        <f>'All Emissions - Summary'!D32</f>
        <v>0</v>
      </c>
      <c r="H30" s="1559"/>
      <c r="I30" s="33"/>
      <c r="J30" s="33"/>
      <c r="K30" s="33"/>
      <c r="T30" s="32"/>
      <c r="U30" s="33"/>
      <c r="V30" s="33"/>
      <c r="W30" s="33"/>
      <c r="X30" s="33"/>
    </row>
    <row r="31" spans="1:24" ht="14.25" x14ac:dyDescent="0.2">
      <c r="A31" s="227"/>
      <c r="B31" s="2125" t="s">
        <v>17</v>
      </c>
      <c r="C31" s="255" t="s">
        <v>214</v>
      </c>
      <c r="D31" s="256"/>
      <c r="E31" s="256"/>
      <c r="F31" s="256"/>
      <c r="G31" s="256">
        <f>'All Emissions - Summary'!D33</f>
        <v>0</v>
      </c>
      <c r="H31" s="1560"/>
      <c r="I31" s="33"/>
      <c r="J31" s="33"/>
      <c r="K31" s="33"/>
      <c r="T31" s="32"/>
      <c r="U31" s="33"/>
      <c r="V31" s="33"/>
      <c r="W31" s="33"/>
      <c r="X31" s="33"/>
    </row>
    <row r="32" spans="1:24" ht="14.25" x14ac:dyDescent="0.2">
      <c r="A32" s="227"/>
      <c r="B32" s="2126"/>
      <c r="C32" s="1431" t="s">
        <v>1071</v>
      </c>
      <c r="D32" s="1432"/>
      <c r="E32" s="1432"/>
      <c r="F32" s="1432"/>
      <c r="G32" s="1432">
        <f>'All Emissions - Summary'!D34</f>
        <v>0</v>
      </c>
      <c r="H32" s="1561"/>
      <c r="I32" s="33"/>
      <c r="J32" s="33"/>
      <c r="K32" s="33"/>
      <c r="T32" s="32"/>
      <c r="U32" s="33"/>
      <c r="V32" s="33"/>
      <c r="W32" s="33"/>
      <c r="X32" s="33"/>
    </row>
    <row r="33" spans="1:24" ht="14.25" x14ac:dyDescent="0.2">
      <c r="A33" s="227"/>
      <c r="B33" s="2127"/>
      <c r="C33" s="258" t="s">
        <v>215</v>
      </c>
      <c r="D33" s="259"/>
      <c r="E33" s="259"/>
      <c r="F33" s="259"/>
      <c r="G33" s="259">
        <f>'All Emissions - Summary'!D35</f>
        <v>0</v>
      </c>
      <c r="H33" s="1562"/>
      <c r="I33" s="33"/>
      <c r="J33" s="33"/>
      <c r="K33" s="33"/>
      <c r="T33" s="32"/>
      <c r="U33" s="33"/>
      <c r="V33" s="33"/>
      <c r="W33" s="33"/>
      <c r="X33" s="33"/>
    </row>
    <row r="34" spans="1:24" ht="14.25" x14ac:dyDescent="0.2">
      <c r="A34" s="227"/>
      <c r="B34" s="2128"/>
      <c r="C34" s="261" t="s">
        <v>216</v>
      </c>
      <c r="D34" s="232"/>
      <c r="E34" s="232"/>
      <c r="F34" s="232"/>
      <c r="G34" s="232">
        <f>'All Emissions - Summary'!D36</f>
        <v>0</v>
      </c>
      <c r="H34" s="1563"/>
      <c r="I34" s="33"/>
      <c r="J34" s="33"/>
      <c r="K34" s="33"/>
      <c r="T34" s="32"/>
      <c r="U34" s="33"/>
      <c r="V34" s="33"/>
      <c r="W34" s="33"/>
      <c r="X34" s="33"/>
    </row>
    <row r="35" spans="1:24" ht="15" thickBot="1" x14ac:dyDescent="0.25">
      <c r="A35" s="227"/>
      <c r="B35" s="2129" t="s">
        <v>238</v>
      </c>
      <c r="C35" s="2130"/>
      <c r="D35" s="295">
        <f>SUM(D26:D34)</f>
        <v>0</v>
      </c>
      <c r="E35" s="295">
        <f>SUM(E26:E34)</f>
        <v>0</v>
      </c>
      <c r="F35" s="295">
        <f>SUM(F26:F34)</f>
        <v>0</v>
      </c>
      <c r="G35" s="295" t="e">
        <f>SUM(G26:G34)</f>
        <v>#DIV/0!</v>
      </c>
      <c r="H35" s="1564"/>
      <c r="I35" s="33"/>
      <c r="J35" s="33"/>
      <c r="K35" s="33"/>
      <c r="L35" s="34"/>
      <c r="W35" s="32"/>
      <c r="X35" s="33"/>
    </row>
    <row r="36" spans="1:24" ht="14.25" x14ac:dyDescent="0.2">
      <c r="A36" s="227"/>
      <c r="B36" s="227"/>
      <c r="C36" s="236"/>
      <c r="D36" s="236"/>
      <c r="E36" s="236"/>
      <c r="F36" s="236"/>
      <c r="G36" s="231"/>
      <c r="H36" s="231"/>
      <c r="I36" s="231"/>
      <c r="J36" s="231"/>
      <c r="K36" s="34"/>
      <c r="L36" s="34"/>
      <c r="W36" s="32"/>
      <c r="X36" s="33"/>
    </row>
    <row r="37" spans="1:24" ht="15" x14ac:dyDescent="0.25">
      <c r="A37" s="44"/>
      <c r="B37" s="44"/>
      <c r="C37" s="44"/>
      <c r="D37" s="44"/>
      <c r="E37" s="44"/>
      <c r="F37" s="44"/>
      <c r="G37" s="45"/>
      <c r="H37" s="45"/>
      <c r="I37" s="45"/>
      <c r="J37" s="45"/>
      <c r="W37" s="32"/>
      <c r="X37" s="33"/>
    </row>
    <row r="38" spans="1:24" ht="15" x14ac:dyDescent="0.25">
      <c r="A38" s="44"/>
      <c r="B38" s="44"/>
      <c r="C38" s="44"/>
      <c r="D38" s="44"/>
      <c r="E38" s="44"/>
      <c r="F38" s="44"/>
      <c r="G38" s="45"/>
      <c r="H38" s="45"/>
      <c r="I38" s="45"/>
      <c r="J38" s="45"/>
      <c r="W38" s="32"/>
      <c r="X38" s="33"/>
    </row>
    <row r="39" spans="1:24" ht="15" x14ac:dyDescent="0.25">
      <c r="A39" s="44"/>
      <c r="B39" s="44"/>
      <c r="C39" s="44"/>
      <c r="D39" s="44"/>
      <c r="E39" s="44"/>
      <c r="F39" s="44"/>
      <c r="G39" s="45"/>
      <c r="H39" s="45"/>
      <c r="I39" s="45"/>
      <c r="J39" s="45"/>
      <c r="W39" s="32"/>
      <c r="X39" s="33"/>
    </row>
    <row r="40" spans="1:24" ht="15" x14ac:dyDescent="0.25">
      <c r="A40" s="44"/>
      <c r="B40" s="44"/>
      <c r="C40" s="44"/>
      <c r="D40" s="44"/>
      <c r="E40" s="44"/>
      <c r="F40" s="44"/>
      <c r="G40" s="44"/>
      <c r="H40" s="45"/>
      <c r="I40" s="45"/>
      <c r="J40" s="45"/>
      <c r="K40" s="45"/>
    </row>
    <row r="41" spans="1:24" ht="15" x14ac:dyDescent="0.25">
      <c r="A41" s="44"/>
      <c r="B41" s="44"/>
      <c r="C41" s="44"/>
      <c r="D41" s="44"/>
      <c r="E41" s="44"/>
      <c r="F41" s="44"/>
      <c r="G41" s="44"/>
      <c r="H41" s="45"/>
      <c r="I41" s="45"/>
      <c r="J41" s="45"/>
      <c r="K41" s="45"/>
    </row>
  </sheetData>
  <mergeCells count="22">
    <mergeCell ref="B8:F8"/>
    <mergeCell ref="B2:F2"/>
    <mergeCell ref="C3:F3"/>
    <mergeCell ref="C4:F4"/>
    <mergeCell ref="C5:F5"/>
    <mergeCell ref="B7:F7"/>
    <mergeCell ref="B11:H11"/>
    <mergeCell ref="B26:B28"/>
    <mergeCell ref="B29:B30"/>
    <mergeCell ref="B31:B34"/>
    <mergeCell ref="B35:C35"/>
    <mergeCell ref="B12:C12"/>
    <mergeCell ref="B13:C13"/>
    <mergeCell ref="B14:C14"/>
    <mergeCell ref="B15:C15"/>
    <mergeCell ref="B16:C16"/>
    <mergeCell ref="B24:H24"/>
    <mergeCell ref="B18:H18"/>
    <mergeCell ref="B19:C19"/>
    <mergeCell ref="B20:C20"/>
    <mergeCell ref="B21:C21"/>
    <mergeCell ref="B22:C2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V50"/>
  <sheetViews>
    <sheetView showGridLines="0" zoomScaleNormal="100" workbookViewId="0">
      <selection activeCell="X53" sqref="X53"/>
    </sheetView>
  </sheetViews>
  <sheetFormatPr defaultRowHeight="12.75" x14ac:dyDescent="0.2"/>
  <sheetData>
    <row r="1" spans="1:22" s="27" customFormat="1" x14ac:dyDescent="0.2"/>
    <row r="2" spans="1:22" s="27" customFormat="1" x14ac:dyDescent="0.2"/>
    <row r="3" spans="1:22" s="27" customFormat="1" x14ac:dyDescent="0.2"/>
    <row r="4" spans="1:22" s="27" customFormat="1" ht="22.5" x14ac:dyDescent="0.3">
      <c r="A4" s="581" t="s">
        <v>1388</v>
      </c>
    </row>
    <row r="6" spans="1:22" x14ac:dyDescent="0.2">
      <c r="A6" s="580"/>
      <c r="V6" s="580"/>
    </row>
    <row r="50" spans="12:12" x14ac:dyDescent="0.2">
      <c r="L50" s="580"/>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M356"/>
  <sheetViews>
    <sheetView showGridLines="0" workbookViewId="0">
      <selection activeCell="C13" sqref="C13"/>
    </sheetView>
  </sheetViews>
  <sheetFormatPr defaultRowHeight="12.75" x14ac:dyDescent="0.2"/>
  <cols>
    <col min="1" max="1" width="37.7109375" customWidth="1"/>
    <col min="2" max="2" width="36" customWidth="1"/>
    <col min="3" max="3" width="23.7109375" customWidth="1"/>
    <col min="4" max="4" width="35" customWidth="1"/>
    <col min="5" max="5" width="29.42578125" customWidth="1"/>
    <col min="6" max="6" width="33.5703125" customWidth="1"/>
    <col min="7" max="7" width="17.28515625" customWidth="1"/>
    <col min="8" max="8" width="21" customWidth="1"/>
    <col min="9" max="13" width="17.28515625" customWidth="1"/>
  </cols>
  <sheetData>
    <row r="1" spans="1:13" s="27" customFormat="1" x14ac:dyDescent="0.2">
      <c r="A1" s="1621" t="s">
        <v>1484</v>
      </c>
      <c r="B1" s="1621" t="s">
        <v>1477</v>
      </c>
      <c r="C1" s="1621" t="s">
        <v>1478</v>
      </c>
      <c r="D1" s="1621" t="s">
        <v>1479</v>
      </c>
      <c r="E1" s="1621" t="s">
        <v>1480</v>
      </c>
      <c r="F1" s="1621" t="s">
        <v>1481</v>
      </c>
      <c r="G1" s="1621" t="s">
        <v>1482</v>
      </c>
      <c r="H1" s="1621" t="s">
        <v>1483</v>
      </c>
      <c r="I1" s="1621" t="s">
        <v>1519</v>
      </c>
    </row>
    <row r="2" spans="1:13" ht="28.5" customHeight="1" x14ac:dyDescent="0.2">
      <c r="A2" s="794" t="s">
        <v>397</v>
      </c>
      <c r="B2" s="794" t="s">
        <v>1079</v>
      </c>
      <c r="C2" s="794" t="s">
        <v>1538</v>
      </c>
      <c r="D2" s="794" t="s">
        <v>634</v>
      </c>
      <c r="E2" s="795" t="s">
        <v>739</v>
      </c>
      <c r="F2" s="794" t="s">
        <v>1404</v>
      </c>
      <c r="G2" s="794" t="s">
        <v>1457</v>
      </c>
      <c r="H2" s="795">
        <f>'Emission Factors'!J38</f>
        <v>2.2546243952000002E-4</v>
      </c>
      <c r="I2" s="1655" t="s">
        <v>797</v>
      </c>
      <c r="J2" s="795"/>
      <c r="K2" s="795"/>
      <c r="L2" s="795"/>
      <c r="M2" s="795"/>
    </row>
    <row r="3" spans="1:13" s="27" customFormat="1" x14ac:dyDescent="0.2">
      <c r="A3" s="794" t="s">
        <v>396</v>
      </c>
      <c r="B3" s="794" t="s">
        <v>397</v>
      </c>
      <c r="C3" s="795" t="s">
        <v>1606</v>
      </c>
      <c r="D3" s="794" t="s">
        <v>1126</v>
      </c>
      <c r="E3" s="795" t="s">
        <v>635</v>
      </c>
      <c r="F3" s="794" t="s">
        <v>1161</v>
      </c>
      <c r="G3" s="794" t="s">
        <v>1459</v>
      </c>
      <c r="H3" s="795">
        <f>'Emission Factors'!L68</f>
        <v>2.6308335999999997E-4</v>
      </c>
      <c r="I3" s="1655" t="s">
        <v>1520</v>
      </c>
      <c r="J3" s="795"/>
      <c r="K3" s="795"/>
      <c r="L3" s="795"/>
      <c r="M3" s="795"/>
    </row>
    <row r="4" spans="1:13" s="27" customFormat="1" ht="28.5" customHeight="1" x14ac:dyDescent="0.2">
      <c r="A4" s="795"/>
      <c r="B4" s="794" t="s">
        <v>396</v>
      </c>
      <c r="C4" s="795" t="s">
        <v>1607</v>
      </c>
      <c r="D4" s="795" t="s">
        <v>413</v>
      </c>
      <c r="E4" s="795" t="s">
        <v>790</v>
      </c>
      <c r="F4" s="794" t="s">
        <v>1162</v>
      </c>
      <c r="G4" s="794" t="s">
        <v>1458</v>
      </c>
      <c r="H4" s="795">
        <f>'Emission Factors'!E33/2204600</f>
        <v>2.6308627415404153E-4</v>
      </c>
      <c r="I4" s="1655" t="s">
        <v>1521</v>
      </c>
      <c r="J4" s="795"/>
      <c r="K4" s="795"/>
      <c r="L4" s="795"/>
      <c r="M4" s="795"/>
    </row>
    <row r="5" spans="1:13" s="27" customFormat="1" ht="12.75" customHeight="1" x14ac:dyDescent="0.2">
      <c r="A5" s="795"/>
      <c r="B5" s="795"/>
      <c r="C5" s="795" t="s">
        <v>412</v>
      </c>
      <c r="D5" s="795" t="s">
        <v>414</v>
      </c>
      <c r="E5" s="795" t="s">
        <v>724</v>
      </c>
      <c r="F5" s="794" t="s">
        <v>1405</v>
      </c>
      <c r="G5" s="795"/>
      <c r="H5" s="795"/>
      <c r="I5" s="1655" t="s">
        <v>1522</v>
      </c>
      <c r="J5" s="795"/>
      <c r="K5" s="795"/>
      <c r="L5" s="795"/>
      <c r="M5" s="795"/>
    </row>
    <row r="6" spans="1:13" s="27" customFormat="1" ht="12.75" customHeight="1" x14ac:dyDescent="0.2">
      <c r="A6" s="796"/>
      <c r="B6" s="795"/>
      <c r="C6" s="795" t="s">
        <v>1608</v>
      </c>
      <c r="D6" s="795" t="s">
        <v>415</v>
      </c>
      <c r="E6" s="795" t="s">
        <v>721</v>
      </c>
      <c r="F6" s="794" t="s">
        <v>1403</v>
      </c>
      <c r="G6" s="795"/>
      <c r="H6" s="795"/>
      <c r="I6" s="1655" t="s">
        <v>612</v>
      </c>
      <c r="J6" s="795"/>
      <c r="K6" s="795"/>
      <c r="L6" s="795"/>
      <c r="M6" s="795"/>
    </row>
    <row r="7" spans="1:13" s="27" customFormat="1" ht="12.75" customHeight="1" x14ac:dyDescent="0.2">
      <c r="A7" s="795"/>
      <c r="B7" s="795"/>
      <c r="C7" s="795" t="s">
        <v>1609</v>
      </c>
      <c r="D7" s="795" t="s">
        <v>416</v>
      </c>
      <c r="E7" s="795" t="s">
        <v>791</v>
      </c>
      <c r="F7" s="794" t="s">
        <v>1417</v>
      </c>
      <c r="G7" s="795"/>
      <c r="H7" s="795"/>
      <c r="I7" s="1655" t="s">
        <v>656</v>
      </c>
      <c r="J7" s="795"/>
      <c r="K7" s="795"/>
      <c r="L7" s="795"/>
      <c r="M7" s="795"/>
    </row>
    <row r="8" spans="1:13" s="27" customFormat="1" x14ac:dyDescent="0.2">
      <c r="A8" s="795"/>
      <c r="B8" s="795"/>
      <c r="C8" s="795"/>
      <c r="D8" s="795" t="s">
        <v>417</v>
      </c>
      <c r="E8" s="795" t="s">
        <v>740</v>
      </c>
      <c r="F8" s="795"/>
      <c r="G8" s="795"/>
      <c r="H8" s="795"/>
      <c r="I8" s="1655" t="s">
        <v>849</v>
      </c>
      <c r="J8" s="795"/>
      <c r="K8" s="795"/>
      <c r="L8" s="795"/>
      <c r="M8" s="795"/>
    </row>
    <row r="9" spans="1:13" s="27" customFormat="1" x14ac:dyDescent="0.2">
      <c r="A9" s="795"/>
      <c r="B9" s="795"/>
      <c r="C9" s="795"/>
      <c r="D9" s="795" t="s">
        <v>418</v>
      </c>
      <c r="E9" s="795" t="s">
        <v>725</v>
      </c>
      <c r="F9" s="795"/>
      <c r="G9" s="795"/>
      <c r="H9" s="795"/>
      <c r="I9" s="1655" t="s">
        <v>1523</v>
      </c>
      <c r="J9" s="795"/>
      <c r="K9" s="795"/>
      <c r="L9" s="795"/>
      <c r="M9" s="795"/>
    </row>
    <row r="10" spans="1:13" s="27" customFormat="1" ht="28.5" customHeight="1" x14ac:dyDescent="0.2">
      <c r="A10" s="796"/>
      <c r="B10" s="795"/>
      <c r="C10" s="795"/>
      <c r="D10" s="795" t="s">
        <v>419</v>
      </c>
      <c r="E10" s="795" t="s">
        <v>619</v>
      </c>
      <c r="F10" s="795"/>
      <c r="G10" s="795"/>
      <c r="H10" s="795"/>
      <c r="I10" s="1655" t="s">
        <v>1524</v>
      </c>
      <c r="J10" s="795"/>
      <c r="K10" s="795"/>
      <c r="L10" s="795"/>
      <c r="M10" s="795"/>
    </row>
    <row r="11" spans="1:13" s="27" customFormat="1" ht="12.75" customHeight="1" x14ac:dyDescent="0.2">
      <c r="A11" s="796"/>
      <c r="B11" s="795"/>
      <c r="C11" s="795"/>
      <c r="D11" s="795" t="s">
        <v>420</v>
      </c>
      <c r="E11" s="795" t="s">
        <v>839</v>
      </c>
      <c r="F11" s="795"/>
      <c r="G11" s="795"/>
      <c r="H11" s="795"/>
      <c r="I11" s="1655" t="s">
        <v>880</v>
      </c>
      <c r="J11" s="795"/>
      <c r="K11" s="795"/>
      <c r="L11" s="795"/>
      <c r="M11" s="795"/>
    </row>
    <row r="12" spans="1:13" s="27" customFormat="1" ht="12.75" customHeight="1" x14ac:dyDescent="0.2">
      <c r="A12" s="796"/>
      <c r="B12" s="795"/>
      <c r="C12" s="795"/>
      <c r="D12" s="795" t="s">
        <v>421</v>
      </c>
      <c r="E12" s="795" t="s">
        <v>636</v>
      </c>
      <c r="F12" s="795"/>
      <c r="G12" s="795"/>
      <c r="H12" s="795"/>
      <c r="I12" s="1655" t="s">
        <v>610</v>
      </c>
      <c r="J12" s="795"/>
      <c r="K12" s="795"/>
      <c r="L12" s="795"/>
      <c r="M12" s="795"/>
    </row>
    <row r="13" spans="1:13" ht="12.75" customHeight="1" x14ac:dyDescent="0.2">
      <c r="A13" s="795"/>
      <c r="B13" s="795"/>
      <c r="C13" s="795"/>
      <c r="D13" s="795" t="s">
        <v>422</v>
      </c>
      <c r="E13" s="795" t="s">
        <v>792</v>
      </c>
      <c r="F13" s="795"/>
      <c r="G13" s="795"/>
      <c r="H13" s="795"/>
      <c r="I13" s="1655" t="s">
        <v>632</v>
      </c>
      <c r="J13" s="795"/>
      <c r="K13" s="795"/>
      <c r="L13" s="795"/>
      <c r="M13" s="795"/>
    </row>
    <row r="14" spans="1:13" x14ac:dyDescent="0.2">
      <c r="A14" s="795"/>
      <c r="B14" s="795"/>
      <c r="C14" s="795"/>
      <c r="D14" s="795" t="s">
        <v>423</v>
      </c>
      <c r="E14" s="795" t="s">
        <v>793</v>
      </c>
      <c r="F14" s="795"/>
      <c r="G14" s="795"/>
      <c r="H14" s="795"/>
      <c r="I14" s="1655" t="s">
        <v>1525</v>
      </c>
      <c r="J14" s="795"/>
      <c r="K14" s="795"/>
      <c r="L14" s="795"/>
      <c r="M14" s="795"/>
    </row>
    <row r="15" spans="1:13" x14ac:dyDescent="0.2">
      <c r="A15" s="795"/>
      <c r="B15" s="795"/>
      <c r="C15" s="795"/>
      <c r="D15" s="795" t="s">
        <v>424</v>
      </c>
      <c r="E15" s="795" t="s">
        <v>794</v>
      </c>
      <c r="F15" s="795"/>
      <c r="G15" s="795"/>
      <c r="H15" s="795"/>
      <c r="I15" s="1655" t="s">
        <v>738</v>
      </c>
      <c r="J15" s="795"/>
      <c r="K15" s="795"/>
      <c r="L15" s="795"/>
      <c r="M15" s="795"/>
    </row>
    <row r="16" spans="1:13" ht="28.5" customHeight="1" x14ac:dyDescent="0.2">
      <c r="A16" s="795"/>
      <c r="B16" s="795"/>
      <c r="C16" s="795"/>
      <c r="D16" s="795" t="s">
        <v>425</v>
      </c>
      <c r="E16" s="795" t="s">
        <v>637</v>
      </c>
      <c r="F16" s="795"/>
      <c r="G16" s="795"/>
      <c r="H16" s="795"/>
      <c r="I16" s="795"/>
      <c r="J16" s="795"/>
      <c r="K16" s="795"/>
      <c r="L16" s="795"/>
      <c r="M16" s="795"/>
    </row>
    <row r="17" spans="1:13" ht="12.75" customHeight="1" x14ac:dyDescent="0.2">
      <c r="A17" s="795"/>
      <c r="B17" s="795"/>
      <c r="C17" s="795"/>
      <c r="D17" s="795" t="s">
        <v>426</v>
      </c>
      <c r="E17" s="795" t="s">
        <v>795</v>
      </c>
      <c r="F17" s="795"/>
      <c r="G17" s="795"/>
      <c r="H17" s="795"/>
      <c r="I17" s="795"/>
      <c r="J17" s="795"/>
      <c r="K17" s="795"/>
      <c r="L17" s="795"/>
      <c r="M17" s="795"/>
    </row>
    <row r="18" spans="1:13" ht="12.75" customHeight="1" x14ac:dyDescent="0.2">
      <c r="A18" s="795"/>
      <c r="B18" s="795"/>
      <c r="C18" s="795"/>
      <c r="D18" s="795" t="s">
        <v>427</v>
      </c>
      <c r="E18" s="795" t="s">
        <v>741</v>
      </c>
      <c r="F18" s="795"/>
      <c r="G18" s="795"/>
      <c r="H18" s="795"/>
      <c r="I18" s="795"/>
      <c r="J18" s="795"/>
      <c r="K18" s="795"/>
      <c r="L18" s="795"/>
      <c r="M18" s="795"/>
    </row>
    <row r="19" spans="1:13" ht="12.75" customHeight="1" x14ac:dyDescent="0.2">
      <c r="A19" s="795"/>
      <c r="B19" s="795"/>
      <c r="C19" s="795"/>
      <c r="D19" s="795" t="s">
        <v>1553</v>
      </c>
      <c r="E19" s="795" t="s">
        <v>796</v>
      </c>
      <c r="F19" s="795"/>
      <c r="G19" s="795"/>
      <c r="H19" s="795"/>
      <c r="I19" s="795"/>
      <c r="J19" s="795"/>
      <c r="K19" s="795"/>
      <c r="L19" s="795"/>
      <c r="M19" s="795"/>
    </row>
    <row r="20" spans="1:13" x14ac:dyDescent="0.2">
      <c r="A20" s="795"/>
      <c r="B20" s="795"/>
      <c r="C20" s="795"/>
      <c r="D20" s="795" t="s">
        <v>428</v>
      </c>
      <c r="E20" s="795" t="s">
        <v>742</v>
      </c>
      <c r="F20" s="795"/>
      <c r="G20" s="795"/>
      <c r="H20" s="795"/>
      <c r="I20" s="795"/>
      <c r="J20" s="795"/>
      <c r="K20" s="795"/>
      <c r="L20" s="795"/>
      <c r="M20" s="795"/>
    </row>
    <row r="21" spans="1:13" x14ac:dyDescent="0.2">
      <c r="A21" s="795"/>
      <c r="B21" s="795"/>
      <c r="C21" s="795"/>
      <c r="D21" s="795" t="s">
        <v>429</v>
      </c>
      <c r="E21" s="795" t="s">
        <v>743</v>
      </c>
      <c r="F21" s="795"/>
      <c r="G21" s="795"/>
      <c r="H21" s="795"/>
      <c r="I21" s="795"/>
      <c r="J21" s="795"/>
      <c r="K21" s="795"/>
      <c r="L21" s="795"/>
      <c r="M21" s="795"/>
    </row>
    <row r="22" spans="1:13" ht="28.5" customHeight="1" x14ac:dyDescent="0.2">
      <c r="A22" s="795"/>
      <c r="B22" s="795"/>
      <c r="C22" s="795"/>
      <c r="D22" s="795" t="s">
        <v>430</v>
      </c>
      <c r="E22" s="795" t="s">
        <v>797</v>
      </c>
      <c r="F22" s="795"/>
      <c r="G22" s="795"/>
      <c r="H22" s="795"/>
      <c r="I22" s="795"/>
      <c r="J22" s="795"/>
      <c r="K22" s="795"/>
      <c r="L22" s="795"/>
      <c r="M22" s="795"/>
    </row>
    <row r="23" spans="1:13" x14ac:dyDescent="0.2">
      <c r="A23" s="795"/>
      <c r="B23" s="795"/>
      <c r="C23" s="795"/>
      <c r="D23" s="795" t="s">
        <v>431</v>
      </c>
      <c r="E23" s="795" t="s">
        <v>798</v>
      </c>
      <c r="F23" s="795"/>
      <c r="G23" s="795"/>
      <c r="H23" s="795"/>
      <c r="I23" s="795"/>
      <c r="J23" s="795"/>
      <c r="K23" s="795"/>
      <c r="L23" s="795"/>
      <c r="M23" s="795"/>
    </row>
    <row r="24" spans="1:13" x14ac:dyDescent="0.2">
      <c r="A24" s="795"/>
      <c r="B24" s="795"/>
      <c r="C24" s="795"/>
      <c r="D24" s="795" t="s">
        <v>432</v>
      </c>
      <c r="E24" s="795" t="s">
        <v>799</v>
      </c>
      <c r="F24" s="795"/>
      <c r="G24" s="795"/>
      <c r="H24" s="795"/>
      <c r="I24" s="795"/>
      <c r="J24" s="795"/>
      <c r="K24" s="795"/>
      <c r="L24" s="795"/>
      <c r="M24" s="795"/>
    </row>
    <row r="25" spans="1:13" x14ac:dyDescent="0.2">
      <c r="A25" s="795"/>
      <c r="B25" s="795"/>
      <c r="C25" s="795"/>
      <c r="D25" s="795" t="s">
        <v>433</v>
      </c>
      <c r="E25" s="795" t="s">
        <v>638</v>
      </c>
      <c r="F25" s="795"/>
      <c r="G25" s="795"/>
      <c r="H25" s="795"/>
      <c r="I25" s="795"/>
      <c r="J25" s="795"/>
      <c r="K25" s="795"/>
      <c r="L25" s="795"/>
      <c r="M25" s="795"/>
    </row>
    <row r="26" spans="1:13" x14ac:dyDescent="0.2">
      <c r="A26" s="795"/>
      <c r="B26" s="795"/>
      <c r="C26" s="795"/>
      <c r="D26" s="795" t="s">
        <v>434</v>
      </c>
      <c r="E26" s="795" t="s">
        <v>800</v>
      </c>
      <c r="F26" s="795"/>
      <c r="G26" s="795"/>
      <c r="H26" s="795"/>
      <c r="I26" s="795"/>
      <c r="J26" s="795"/>
      <c r="K26" s="795"/>
      <c r="L26" s="795"/>
      <c r="M26" s="795"/>
    </row>
    <row r="27" spans="1:13" x14ac:dyDescent="0.2">
      <c r="A27" s="795"/>
      <c r="B27" s="795"/>
      <c r="C27" s="795"/>
      <c r="D27" s="795" t="s">
        <v>435</v>
      </c>
      <c r="E27" s="795" t="s">
        <v>611</v>
      </c>
      <c r="F27" s="795"/>
      <c r="G27" s="795"/>
      <c r="H27" s="795"/>
      <c r="I27" s="795"/>
      <c r="J27" s="795"/>
      <c r="K27" s="795"/>
      <c r="L27" s="795"/>
      <c r="M27" s="795"/>
    </row>
    <row r="28" spans="1:13" ht="28.5" customHeight="1" x14ac:dyDescent="0.2">
      <c r="A28" s="795"/>
      <c r="B28" s="795"/>
      <c r="C28" s="795"/>
      <c r="D28" s="795" t="s">
        <v>436</v>
      </c>
      <c r="E28" s="795" t="s">
        <v>639</v>
      </c>
      <c r="F28" s="795"/>
      <c r="G28" s="795"/>
      <c r="H28" s="795"/>
      <c r="I28" s="795"/>
      <c r="J28" s="795"/>
      <c r="K28" s="795"/>
      <c r="L28" s="795"/>
      <c r="M28" s="795"/>
    </row>
    <row r="29" spans="1:13" ht="12.75" customHeight="1" x14ac:dyDescent="0.2">
      <c r="A29" s="795"/>
      <c r="B29" s="795"/>
      <c r="C29" s="795"/>
      <c r="D29" s="795" t="s">
        <v>437</v>
      </c>
      <c r="E29" s="795" t="s">
        <v>801</v>
      </c>
      <c r="F29" s="795"/>
      <c r="G29" s="795"/>
      <c r="H29" s="795"/>
      <c r="I29" s="795"/>
      <c r="J29" s="795"/>
      <c r="K29" s="795"/>
      <c r="L29" s="795"/>
      <c r="M29" s="795"/>
    </row>
    <row r="30" spans="1:13" ht="12.75" customHeight="1" x14ac:dyDescent="0.2">
      <c r="A30" s="795"/>
      <c r="B30" s="795"/>
      <c r="C30" s="795"/>
      <c r="D30" s="795" t="s">
        <v>438</v>
      </c>
      <c r="E30" s="795" t="s">
        <v>744</v>
      </c>
      <c r="F30" s="795"/>
      <c r="G30" s="795"/>
      <c r="H30" s="795"/>
      <c r="I30" s="795"/>
      <c r="J30" s="795"/>
      <c r="K30" s="795"/>
      <c r="L30" s="795"/>
      <c r="M30" s="795"/>
    </row>
    <row r="31" spans="1:13" ht="12.75" customHeight="1" x14ac:dyDescent="0.2">
      <c r="A31" s="795"/>
      <c r="B31" s="795"/>
      <c r="C31" s="795"/>
      <c r="D31" s="795" t="s">
        <v>439</v>
      </c>
      <c r="E31" s="795" t="s">
        <v>802</v>
      </c>
      <c r="F31" s="795"/>
      <c r="G31" s="795"/>
      <c r="H31" s="795"/>
      <c r="I31" s="795"/>
      <c r="J31" s="795"/>
      <c r="K31" s="795"/>
      <c r="L31" s="795"/>
      <c r="M31" s="795"/>
    </row>
    <row r="32" spans="1:13" x14ac:dyDescent="0.2">
      <c r="A32" s="795"/>
      <c r="B32" s="795"/>
      <c r="C32" s="795"/>
      <c r="D32" s="795" t="s">
        <v>1554</v>
      </c>
      <c r="E32" s="795" t="s">
        <v>640</v>
      </c>
      <c r="F32" s="795"/>
      <c r="G32" s="795"/>
      <c r="H32" s="795"/>
      <c r="I32" s="795"/>
      <c r="J32" s="795"/>
      <c r="K32" s="795"/>
      <c r="L32" s="795"/>
      <c r="M32" s="795"/>
    </row>
    <row r="33" spans="1:13" x14ac:dyDescent="0.2">
      <c r="A33" s="795"/>
      <c r="B33" s="795"/>
      <c r="C33" s="795"/>
      <c r="D33" s="795" t="s">
        <v>440</v>
      </c>
      <c r="E33" s="795" t="s">
        <v>745</v>
      </c>
      <c r="F33" s="795"/>
      <c r="G33" s="795"/>
      <c r="H33" s="795"/>
      <c r="I33" s="795"/>
      <c r="J33" s="795"/>
      <c r="K33" s="795"/>
      <c r="L33" s="795"/>
      <c r="M33" s="795"/>
    </row>
    <row r="34" spans="1:13" ht="28.5" customHeight="1" x14ac:dyDescent="0.2">
      <c r="A34" s="795"/>
      <c r="B34" s="795"/>
      <c r="C34" s="795"/>
      <c r="D34" s="795" t="s">
        <v>441</v>
      </c>
      <c r="E34" s="795" t="s">
        <v>726</v>
      </c>
      <c r="F34" s="795"/>
      <c r="G34" s="795"/>
      <c r="H34" s="795"/>
      <c r="I34" s="795"/>
      <c r="J34" s="795"/>
      <c r="K34" s="795"/>
      <c r="L34" s="795"/>
      <c r="M34" s="795"/>
    </row>
    <row r="35" spans="1:13" ht="12.75" customHeight="1" x14ac:dyDescent="0.2">
      <c r="A35" s="795"/>
      <c r="B35" s="795"/>
      <c r="C35" s="795"/>
      <c r="D35" s="795" t="s">
        <v>442</v>
      </c>
      <c r="E35" s="795" t="s">
        <v>803</v>
      </c>
      <c r="F35" s="795"/>
      <c r="G35" s="795"/>
      <c r="H35" s="795"/>
      <c r="I35" s="795"/>
      <c r="J35" s="795"/>
      <c r="K35" s="795"/>
      <c r="L35" s="795"/>
      <c r="M35" s="795"/>
    </row>
    <row r="36" spans="1:13" ht="12.75" customHeight="1" x14ac:dyDescent="0.2">
      <c r="A36" s="795"/>
      <c r="B36" s="795"/>
      <c r="C36" s="795"/>
      <c r="D36" s="795" t="s">
        <v>443</v>
      </c>
      <c r="E36" s="795" t="s">
        <v>641</v>
      </c>
      <c r="F36" s="795"/>
      <c r="G36" s="795"/>
      <c r="H36" s="795"/>
      <c r="I36" s="795"/>
      <c r="J36" s="795"/>
      <c r="K36" s="795"/>
      <c r="L36" s="795"/>
      <c r="M36" s="795"/>
    </row>
    <row r="37" spans="1:13" ht="12.75" customHeight="1" x14ac:dyDescent="0.2">
      <c r="A37" s="795"/>
      <c r="B37" s="795"/>
      <c r="C37" s="795"/>
      <c r="D37" s="795" t="s">
        <v>444</v>
      </c>
      <c r="E37" s="795" t="s">
        <v>614</v>
      </c>
      <c r="F37" s="795"/>
      <c r="G37" s="795"/>
      <c r="H37" s="795"/>
      <c r="I37" s="795"/>
      <c r="J37" s="795"/>
      <c r="K37" s="795"/>
      <c r="L37" s="795"/>
      <c r="M37" s="795"/>
    </row>
    <row r="38" spans="1:13" x14ac:dyDescent="0.2">
      <c r="A38" s="795"/>
      <c r="B38" s="795"/>
      <c r="C38" s="795"/>
      <c r="D38" s="795" t="s">
        <v>1555</v>
      </c>
      <c r="E38" s="795" t="s">
        <v>804</v>
      </c>
      <c r="F38" s="795"/>
      <c r="G38" s="795"/>
      <c r="H38" s="795"/>
      <c r="I38" s="795"/>
      <c r="J38" s="795"/>
      <c r="K38" s="795"/>
      <c r="L38" s="795"/>
      <c r="M38" s="795"/>
    </row>
    <row r="39" spans="1:13" x14ac:dyDescent="0.2">
      <c r="A39" s="795"/>
      <c r="B39" s="795"/>
      <c r="C39" s="795"/>
      <c r="D39" s="795" t="s">
        <v>445</v>
      </c>
      <c r="E39" s="795" t="s">
        <v>642</v>
      </c>
      <c r="F39" s="795"/>
      <c r="G39" s="795"/>
      <c r="H39" s="795"/>
      <c r="I39" s="795"/>
      <c r="J39" s="795"/>
      <c r="K39" s="795"/>
      <c r="L39" s="795"/>
      <c r="M39" s="795"/>
    </row>
    <row r="40" spans="1:13" ht="28.5" customHeight="1" x14ac:dyDescent="0.2">
      <c r="A40" s="795"/>
      <c r="B40" s="795"/>
      <c r="C40" s="795"/>
      <c r="D40" s="795" t="s">
        <v>446</v>
      </c>
      <c r="E40" s="795" t="s">
        <v>746</v>
      </c>
      <c r="F40" s="795"/>
      <c r="G40" s="795"/>
      <c r="H40" s="795"/>
      <c r="I40" s="795"/>
      <c r="J40" s="795"/>
      <c r="K40" s="795"/>
      <c r="L40" s="795"/>
      <c r="M40" s="795"/>
    </row>
    <row r="41" spans="1:13" ht="12.75" customHeight="1" x14ac:dyDescent="0.2">
      <c r="A41" s="795"/>
      <c r="B41" s="795"/>
      <c r="C41" s="795"/>
      <c r="D41" s="795" t="s">
        <v>447</v>
      </c>
      <c r="E41" s="795" t="s">
        <v>805</v>
      </c>
      <c r="F41" s="795"/>
      <c r="G41" s="795"/>
      <c r="H41" s="795"/>
      <c r="I41" s="795"/>
      <c r="J41" s="795"/>
      <c r="K41" s="795"/>
      <c r="L41" s="795"/>
      <c r="M41" s="795"/>
    </row>
    <row r="42" spans="1:13" ht="12.75" customHeight="1" x14ac:dyDescent="0.2">
      <c r="A42" s="795"/>
      <c r="B42" s="795"/>
      <c r="C42" s="795"/>
      <c r="D42" s="795" t="s">
        <v>448</v>
      </c>
      <c r="E42" s="795" t="s">
        <v>626</v>
      </c>
      <c r="F42" s="795"/>
      <c r="G42" s="795"/>
      <c r="H42" s="795"/>
      <c r="I42" s="795"/>
      <c r="J42" s="795"/>
      <c r="K42" s="795"/>
      <c r="L42" s="795"/>
      <c r="M42" s="795"/>
    </row>
    <row r="43" spans="1:13" ht="12.75" customHeight="1" x14ac:dyDescent="0.2">
      <c r="A43" s="795"/>
      <c r="B43" s="795"/>
      <c r="C43" s="795"/>
      <c r="D43" s="795" t="s">
        <v>449</v>
      </c>
      <c r="E43" s="795" t="s">
        <v>806</v>
      </c>
      <c r="F43" s="795"/>
      <c r="G43" s="795"/>
      <c r="H43" s="795"/>
      <c r="I43" s="795"/>
      <c r="J43" s="795"/>
      <c r="K43" s="795"/>
      <c r="L43" s="795"/>
      <c r="M43" s="795"/>
    </row>
    <row r="44" spans="1:13" x14ac:dyDescent="0.2">
      <c r="A44" s="795"/>
      <c r="B44" s="795"/>
      <c r="C44" s="795"/>
      <c r="D44" s="795"/>
      <c r="E44" s="795" t="s">
        <v>747</v>
      </c>
      <c r="F44" s="795"/>
      <c r="G44" s="795"/>
      <c r="H44" s="795"/>
      <c r="I44" s="795"/>
      <c r="J44" s="795"/>
      <c r="K44" s="795"/>
      <c r="L44" s="795"/>
      <c r="M44" s="795"/>
    </row>
    <row r="45" spans="1:13" x14ac:dyDescent="0.2">
      <c r="A45" s="795"/>
      <c r="B45" s="795"/>
      <c r="C45" s="795"/>
      <c r="D45" s="795"/>
      <c r="E45" s="795" t="s">
        <v>807</v>
      </c>
      <c r="F45" s="795"/>
      <c r="G45" s="795"/>
      <c r="H45" s="795"/>
      <c r="I45" s="795"/>
      <c r="J45" s="795"/>
      <c r="K45" s="795"/>
      <c r="L45" s="795"/>
      <c r="M45" s="795"/>
    </row>
    <row r="46" spans="1:13" ht="28.5" customHeight="1" x14ac:dyDescent="0.2">
      <c r="A46" s="795"/>
      <c r="B46" s="795"/>
      <c r="C46" s="795"/>
      <c r="D46" s="795"/>
      <c r="E46" s="795" t="s">
        <v>748</v>
      </c>
      <c r="F46" s="795"/>
      <c r="G46" s="795"/>
      <c r="H46" s="795"/>
      <c r="I46" s="795"/>
      <c r="J46" s="795"/>
      <c r="K46" s="795"/>
      <c r="L46" s="795"/>
      <c r="M46" s="795"/>
    </row>
    <row r="47" spans="1:13" x14ac:dyDescent="0.2">
      <c r="A47" s="795"/>
      <c r="B47" s="795"/>
      <c r="C47" s="795"/>
      <c r="D47" s="795"/>
      <c r="E47" s="795" t="s">
        <v>808</v>
      </c>
      <c r="F47" s="795"/>
      <c r="G47" s="795"/>
      <c r="H47" s="795"/>
      <c r="I47" s="795"/>
      <c r="J47" s="795"/>
      <c r="K47" s="795"/>
      <c r="L47" s="795"/>
      <c r="M47" s="795"/>
    </row>
    <row r="48" spans="1:13" x14ac:dyDescent="0.2">
      <c r="A48" s="795"/>
      <c r="B48" s="795"/>
      <c r="C48" s="795"/>
      <c r="D48" s="795"/>
      <c r="E48" s="795" t="s">
        <v>643</v>
      </c>
      <c r="F48" s="795"/>
      <c r="G48" s="795"/>
      <c r="H48" s="795"/>
      <c r="I48" s="795"/>
      <c r="J48" s="795"/>
      <c r="K48" s="795"/>
      <c r="L48" s="795"/>
      <c r="M48" s="795"/>
    </row>
    <row r="49" spans="1:13" x14ac:dyDescent="0.2">
      <c r="A49" s="795"/>
      <c r="B49" s="795"/>
      <c r="C49" s="795"/>
      <c r="D49" s="795"/>
      <c r="E49" s="795" t="s">
        <v>809</v>
      </c>
      <c r="F49" s="795"/>
      <c r="G49" s="795"/>
      <c r="H49" s="795"/>
      <c r="I49" s="795"/>
      <c r="J49" s="795"/>
      <c r="K49" s="795"/>
      <c r="L49" s="795"/>
      <c r="M49" s="795"/>
    </row>
    <row r="50" spans="1:13" x14ac:dyDescent="0.2">
      <c r="A50" s="795"/>
      <c r="B50" s="795"/>
      <c r="C50" s="795"/>
      <c r="D50" s="795"/>
      <c r="E50" s="795" t="s">
        <v>644</v>
      </c>
      <c r="F50" s="795"/>
      <c r="G50" s="795"/>
      <c r="H50" s="795"/>
      <c r="I50" s="795"/>
      <c r="J50" s="795"/>
      <c r="K50" s="795"/>
      <c r="L50" s="795"/>
      <c r="M50" s="795"/>
    </row>
    <row r="51" spans="1:13" x14ac:dyDescent="0.2">
      <c r="A51" s="795"/>
      <c r="B51" s="795"/>
      <c r="C51" s="795"/>
      <c r="D51" s="795"/>
      <c r="E51" s="795" t="s">
        <v>14</v>
      </c>
      <c r="F51" s="795"/>
      <c r="G51" s="795"/>
      <c r="H51" s="795"/>
      <c r="I51" s="795"/>
      <c r="J51" s="795"/>
      <c r="K51" s="795"/>
      <c r="L51" s="795"/>
      <c r="M51" s="795"/>
    </row>
    <row r="52" spans="1:13" ht="14.25" customHeight="1" x14ac:dyDescent="0.2">
      <c r="A52" s="795"/>
      <c r="B52" s="795"/>
      <c r="C52" s="795"/>
      <c r="D52" s="795"/>
      <c r="E52" s="795" t="s">
        <v>645</v>
      </c>
      <c r="F52" s="795"/>
      <c r="G52" s="795"/>
      <c r="H52" s="795"/>
      <c r="I52" s="795"/>
      <c r="J52" s="795"/>
      <c r="K52" s="795"/>
      <c r="L52" s="795"/>
      <c r="M52" s="795"/>
    </row>
    <row r="53" spans="1:13" ht="12.75" customHeight="1" x14ac:dyDescent="0.2">
      <c r="A53" s="795"/>
      <c r="B53" s="795"/>
      <c r="C53" s="795"/>
      <c r="D53" s="795"/>
      <c r="E53" s="795" t="s">
        <v>646</v>
      </c>
      <c r="F53" s="795"/>
      <c r="G53" s="795"/>
      <c r="H53" s="795"/>
      <c r="I53" s="795"/>
      <c r="J53" s="795"/>
      <c r="K53" s="795"/>
      <c r="L53" s="795"/>
      <c r="M53" s="795"/>
    </row>
    <row r="54" spans="1:13" ht="12.75" customHeight="1" x14ac:dyDescent="0.2">
      <c r="A54" s="795"/>
      <c r="B54" s="795"/>
      <c r="C54" s="795"/>
      <c r="D54" s="795"/>
      <c r="E54" s="795" t="s">
        <v>613</v>
      </c>
      <c r="F54" s="795"/>
      <c r="G54" s="795"/>
      <c r="H54" s="795"/>
      <c r="I54" s="795"/>
      <c r="J54" s="795"/>
      <c r="K54" s="795"/>
      <c r="L54" s="795"/>
      <c r="M54" s="795"/>
    </row>
    <row r="55" spans="1:13" ht="12.75" customHeight="1" x14ac:dyDescent="0.2">
      <c r="A55" s="795"/>
      <c r="B55" s="795"/>
      <c r="C55" s="795"/>
      <c r="D55" s="795"/>
      <c r="E55" s="795" t="s">
        <v>810</v>
      </c>
      <c r="F55" s="795"/>
      <c r="G55" s="795"/>
      <c r="H55" s="795"/>
      <c r="I55" s="795"/>
      <c r="J55" s="795"/>
      <c r="K55" s="795"/>
      <c r="L55" s="795"/>
      <c r="M55" s="795"/>
    </row>
    <row r="56" spans="1:13" x14ac:dyDescent="0.2">
      <c r="A56" s="795"/>
      <c r="B56" s="795"/>
      <c r="C56" s="795"/>
      <c r="D56" s="795"/>
      <c r="E56" s="795" t="s">
        <v>720</v>
      </c>
      <c r="F56" s="795"/>
      <c r="G56" s="795"/>
      <c r="H56" s="795"/>
      <c r="I56" s="795"/>
      <c r="J56" s="795"/>
      <c r="K56" s="795"/>
      <c r="L56" s="795"/>
      <c r="M56" s="795"/>
    </row>
    <row r="57" spans="1:13" x14ac:dyDescent="0.2">
      <c r="A57" s="795"/>
      <c r="B57" s="795"/>
      <c r="C57" s="795"/>
      <c r="D57" s="795"/>
      <c r="E57" s="795" t="s">
        <v>811</v>
      </c>
      <c r="F57" s="795"/>
      <c r="G57" s="795"/>
      <c r="H57" s="795"/>
      <c r="I57" s="795"/>
      <c r="J57" s="795"/>
      <c r="K57" s="795"/>
      <c r="L57" s="795"/>
      <c r="M57" s="795"/>
    </row>
    <row r="58" spans="1:13" ht="28.5" customHeight="1" x14ac:dyDescent="0.2">
      <c r="A58" s="795"/>
      <c r="B58" s="795"/>
      <c r="C58" s="795"/>
      <c r="D58" s="795"/>
      <c r="E58" s="795" t="s">
        <v>749</v>
      </c>
      <c r="F58" s="795"/>
      <c r="G58" s="795"/>
      <c r="H58" s="795"/>
      <c r="I58" s="795"/>
      <c r="J58" s="795"/>
      <c r="K58" s="795"/>
      <c r="L58" s="795"/>
      <c r="M58" s="795"/>
    </row>
    <row r="59" spans="1:13" ht="12.75" customHeight="1" x14ac:dyDescent="0.2">
      <c r="A59" s="795"/>
      <c r="B59" s="795"/>
      <c r="C59" s="795"/>
      <c r="D59" s="795"/>
      <c r="E59" s="795" t="s">
        <v>647</v>
      </c>
      <c r="F59" s="795"/>
      <c r="G59" s="795"/>
      <c r="H59" s="795"/>
      <c r="I59" s="795"/>
      <c r="J59" s="795"/>
      <c r="K59" s="795"/>
      <c r="L59" s="795"/>
      <c r="M59" s="795"/>
    </row>
    <row r="60" spans="1:13" ht="12.75" customHeight="1" x14ac:dyDescent="0.2">
      <c r="A60" s="795"/>
      <c r="B60" s="795"/>
      <c r="C60" s="795"/>
      <c r="D60" s="795"/>
      <c r="E60" s="795" t="s">
        <v>812</v>
      </c>
      <c r="F60" s="795"/>
      <c r="G60" s="795"/>
      <c r="H60" s="795"/>
      <c r="I60" s="795"/>
      <c r="J60" s="795"/>
      <c r="K60" s="795"/>
      <c r="L60" s="795"/>
      <c r="M60" s="795"/>
    </row>
    <row r="61" spans="1:13" ht="12.75" customHeight="1" x14ac:dyDescent="0.2">
      <c r="A61" s="795"/>
      <c r="B61" s="795"/>
      <c r="C61" s="795"/>
      <c r="D61" s="795"/>
      <c r="E61" s="795" t="s">
        <v>813</v>
      </c>
      <c r="F61" s="795"/>
      <c r="G61" s="795"/>
      <c r="H61" s="795"/>
      <c r="I61" s="795"/>
      <c r="J61" s="795"/>
      <c r="K61" s="795"/>
      <c r="L61" s="795"/>
      <c r="M61" s="795"/>
    </row>
    <row r="62" spans="1:13" x14ac:dyDescent="0.2">
      <c r="A62" s="795"/>
      <c r="B62" s="795"/>
      <c r="C62" s="795"/>
      <c r="D62" s="795"/>
      <c r="E62" s="795" t="s">
        <v>814</v>
      </c>
      <c r="F62" s="795"/>
      <c r="G62" s="795"/>
      <c r="H62" s="795"/>
      <c r="I62" s="795"/>
      <c r="J62" s="795"/>
      <c r="K62" s="795"/>
      <c r="L62" s="795"/>
      <c r="M62" s="795"/>
    </row>
    <row r="63" spans="1:13" x14ac:dyDescent="0.2">
      <c r="A63" s="795"/>
      <c r="B63" s="795"/>
      <c r="C63" s="795"/>
      <c r="D63" s="795"/>
      <c r="E63" s="795" t="s">
        <v>815</v>
      </c>
      <c r="F63" s="795"/>
      <c r="G63" s="795"/>
      <c r="H63" s="795"/>
      <c r="I63" s="795"/>
      <c r="J63" s="795"/>
      <c r="K63" s="795"/>
      <c r="L63" s="795"/>
      <c r="M63" s="795"/>
    </row>
    <row r="64" spans="1:13" ht="28.5" customHeight="1" x14ac:dyDescent="0.2">
      <c r="A64" s="795"/>
      <c r="B64" s="795"/>
      <c r="C64" s="795"/>
      <c r="D64" s="795"/>
      <c r="E64" s="795" t="s">
        <v>816</v>
      </c>
      <c r="F64" s="795"/>
      <c r="G64" s="795"/>
      <c r="H64" s="795"/>
      <c r="I64" s="795"/>
      <c r="J64" s="795"/>
      <c r="K64" s="795"/>
      <c r="L64" s="795"/>
      <c r="M64" s="795"/>
    </row>
    <row r="65" spans="1:13" x14ac:dyDescent="0.2">
      <c r="A65" s="795"/>
      <c r="B65" s="795"/>
      <c r="C65" s="795"/>
      <c r="D65" s="795"/>
      <c r="E65" s="795" t="s">
        <v>817</v>
      </c>
      <c r="F65" s="795"/>
      <c r="G65" s="795"/>
      <c r="H65" s="795"/>
      <c r="I65" s="795"/>
      <c r="J65" s="795"/>
      <c r="K65" s="795"/>
      <c r="L65" s="795"/>
      <c r="M65" s="795"/>
    </row>
    <row r="66" spans="1:13" x14ac:dyDescent="0.2">
      <c r="A66" s="795"/>
      <c r="B66" s="795"/>
      <c r="C66" s="795"/>
      <c r="D66" s="795"/>
      <c r="E66" s="795" t="s">
        <v>750</v>
      </c>
      <c r="F66" s="795"/>
      <c r="G66" s="795"/>
      <c r="H66" s="795"/>
      <c r="I66" s="795"/>
      <c r="J66" s="795"/>
      <c r="K66" s="795"/>
      <c r="L66" s="795"/>
      <c r="M66" s="795"/>
    </row>
    <row r="67" spans="1:13" x14ac:dyDescent="0.2">
      <c r="A67" s="795"/>
      <c r="B67" s="795"/>
      <c r="C67" s="795"/>
      <c r="D67" s="795"/>
      <c r="E67" s="795" t="s">
        <v>648</v>
      </c>
      <c r="F67" s="795"/>
      <c r="G67" s="795"/>
      <c r="H67" s="795"/>
      <c r="I67" s="795"/>
      <c r="J67" s="795"/>
      <c r="K67" s="795"/>
      <c r="L67" s="795"/>
      <c r="M67" s="795"/>
    </row>
    <row r="68" spans="1:13" x14ac:dyDescent="0.2">
      <c r="A68" s="795"/>
      <c r="B68" s="795"/>
      <c r="C68" s="795"/>
      <c r="D68" s="795"/>
      <c r="E68" s="795" t="s">
        <v>818</v>
      </c>
      <c r="F68" s="795"/>
      <c r="G68" s="795"/>
      <c r="H68" s="795"/>
      <c r="I68" s="795"/>
      <c r="J68" s="795"/>
      <c r="K68" s="795"/>
      <c r="L68" s="795"/>
      <c r="M68" s="795"/>
    </row>
    <row r="69" spans="1:13" x14ac:dyDescent="0.2">
      <c r="A69" s="795"/>
      <c r="B69" s="795"/>
      <c r="C69" s="795"/>
      <c r="D69" s="795"/>
      <c r="E69" s="795" t="s">
        <v>649</v>
      </c>
      <c r="F69" s="795"/>
      <c r="G69" s="795"/>
      <c r="H69" s="795"/>
      <c r="I69" s="795"/>
      <c r="J69" s="795"/>
      <c r="K69" s="795"/>
      <c r="L69" s="795"/>
      <c r="M69" s="795"/>
    </row>
    <row r="70" spans="1:13" ht="14.25" customHeight="1" x14ac:dyDescent="0.2">
      <c r="A70" s="795"/>
      <c r="B70" s="795"/>
      <c r="C70" s="795"/>
      <c r="D70" s="795"/>
      <c r="E70" s="795" t="s">
        <v>819</v>
      </c>
      <c r="F70" s="795"/>
      <c r="G70" s="795"/>
      <c r="H70" s="795"/>
      <c r="I70" s="795"/>
      <c r="J70" s="795"/>
      <c r="K70" s="795"/>
      <c r="L70" s="795"/>
      <c r="M70" s="795"/>
    </row>
    <row r="71" spans="1:13" ht="12.75" customHeight="1" x14ac:dyDescent="0.2">
      <c r="A71" s="795"/>
      <c r="B71" s="795"/>
      <c r="C71" s="795"/>
      <c r="D71" s="795"/>
      <c r="E71" s="795" t="s">
        <v>820</v>
      </c>
      <c r="F71" s="795"/>
      <c r="G71" s="795"/>
      <c r="H71" s="795"/>
      <c r="I71" s="795"/>
      <c r="J71" s="795"/>
      <c r="K71" s="795"/>
      <c r="L71" s="795"/>
      <c r="M71" s="795"/>
    </row>
    <row r="72" spans="1:13" ht="12.75" customHeight="1" x14ac:dyDescent="0.2">
      <c r="A72" s="795"/>
      <c r="B72" s="795"/>
      <c r="C72" s="795"/>
      <c r="D72" s="795"/>
      <c r="E72" s="795" t="s">
        <v>821</v>
      </c>
      <c r="F72" s="795"/>
      <c r="G72" s="795"/>
      <c r="H72" s="795"/>
      <c r="I72" s="795"/>
      <c r="J72" s="795"/>
      <c r="K72" s="795"/>
      <c r="L72" s="795"/>
      <c r="M72" s="795"/>
    </row>
    <row r="73" spans="1:13" ht="12.75" customHeight="1" x14ac:dyDescent="0.2">
      <c r="A73" s="795"/>
      <c r="B73" s="795"/>
      <c r="C73" s="795"/>
      <c r="D73" s="795"/>
      <c r="E73" s="795" t="s">
        <v>650</v>
      </c>
      <c r="F73" s="795"/>
      <c r="G73" s="795"/>
      <c r="H73" s="795"/>
      <c r="I73" s="795"/>
      <c r="J73" s="795"/>
      <c r="K73" s="795"/>
      <c r="L73" s="795"/>
      <c r="M73" s="795"/>
    </row>
    <row r="74" spans="1:13" x14ac:dyDescent="0.2">
      <c r="A74" s="795"/>
      <c r="B74" s="795"/>
      <c r="C74" s="795"/>
      <c r="D74" s="795"/>
      <c r="E74" s="795" t="s">
        <v>727</v>
      </c>
      <c r="F74" s="795"/>
      <c r="G74" s="795"/>
      <c r="H74" s="795"/>
      <c r="I74" s="795"/>
      <c r="J74" s="795"/>
      <c r="K74" s="795"/>
      <c r="L74" s="795"/>
      <c r="M74" s="795"/>
    </row>
    <row r="75" spans="1:13" x14ac:dyDescent="0.2">
      <c r="A75" s="795"/>
      <c r="B75" s="795"/>
      <c r="C75" s="795"/>
      <c r="D75" s="795"/>
      <c r="E75" s="795" t="s">
        <v>651</v>
      </c>
      <c r="F75" s="795"/>
      <c r="G75" s="795"/>
      <c r="H75" s="795"/>
      <c r="I75" s="795"/>
      <c r="J75" s="795"/>
      <c r="K75" s="795"/>
      <c r="L75" s="795"/>
      <c r="M75" s="795"/>
    </row>
    <row r="76" spans="1:13" x14ac:dyDescent="0.2">
      <c r="A76" s="795"/>
      <c r="B76" s="795"/>
      <c r="C76" s="795"/>
      <c r="D76" s="795"/>
      <c r="E76" s="795" t="s">
        <v>823</v>
      </c>
      <c r="F76" s="795"/>
      <c r="G76" s="795"/>
      <c r="H76" s="795"/>
      <c r="I76" s="795"/>
      <c r="J76" s="795"/>
      <c r="K76" s="795"/>
      <c r="L76" s="795"/>
      <c r="M76" s="795"/>
    </row>
    <row r="77" spans="1:13" x14ac:dyDescent="0.2">
      <c r="A77" s="795"/>
      <c r="B77" s="795"/>
      <c r="C77" s="795"/>
      <c r="D77" s="795"/>
      <c r="E77" s="795" t="s">
        <v>824</v>
      </c>
      <c r="F77" s="795"/>
      <c r="G77" s="795"/>
      <c r="H77" s="795"/>
      <c r="I77" s="795"/>
      <c r="J77" s="795"/>
      <c r="K77" s="795"/>
      <c r="L77" s="795"/>
      <c r="M77" s="795"/>
    </row>
    <row r="78" spans="1:13" x14ac:dyDescent="0.2">
      <c r="A78" s="795"/>
      <c r="B78" s="795"/>
      <c r="C78" s="795"/>
      <c r="D78" s="795"/>
      <c r="E78" s="795" t="s">
        <v>719</v>
      </c>
      <c r="F78" s="795"/>
      <c r="G78" s="795"/>
      <c r="H78" s="795"/>
      <c r="I78" s="795"/>
      <c r="J78" s="795"/>
      <c r="K78" s="795"/>
      <c r="L78" s="795"/>
      <c r="M78" s="795"/>
    </row>
    <row r="79" spans="1:13" x14ac:dyDescent="0.2">
      <c r="A79" s="795"/>
      <c r="B79" s="795"/>
      <c r="C79" s="795"/>
      <c r="D79" s="795"/>
      <c r="E79" s="795" t="s">
        <v>825</v>
      </c>
      <c r="F79" s="795"/>
      <c r="G79" s="795"/>
      <c r="H79" s="795"/>
      <c r="I79" s="795"/>
      <c r="J79" s="795"/>
      <c r="K79" s="795"/>
      <c r="L79" s="795"/>
      <c r="M79" s="795"/>
    </row>
    <row r="80" spans="1:13" x14ac:dyDescent="0.2">
      <c r="A80" s="795"/>
      <c r="B80" s="795"/>
      <c r="C80" s="795"/>
      <c r="D80" s="795"/>
      <c r="E80" s="795" t="s">
        <v>652</v>
      </c>
      <c r="F80" s="795"/>
      <c r="G80" s="795"/>
      <c r="H80" s="795"/>
      <c r="I80" s="795"/>
      <c r="J80" s="795"/>
      <c r="K80" s="795"/>
      <c r="L80" s="795"/>
      <c r="M80" s="795"/>
    </row>
    <row r="81" spans="1:13" x14ac:dyDescent="0.2">
      <c r="A81" s="795"/>
      <c r="B81" s="795"/>
      <c r="C81" s="795"/>
      <c r="D81" s="795"/>
      <c r="E81" s="795" t="s">
        <v>751</v>
      </c>
      <c r="F81" s="795"/>
      <c r="G81" s="795"/>
      <c r="H81" s="795"/>
      <c r="I81" s="795"/>
      <c r="J81" s="795"/>
      <c r="K81" s="795"/>
      <c r="L81" s="795"/>
      <c r="M81" s="795"/>
    </row>
    <row r="82" spans="1:13" x14ac:dyDescent="0.2">
      <c r="A82" s="795"/>
      <c r="B82" s="795"/>
      <c r="C82" s="795"/>
      <c r="D82" s="795"/>
      <c r="E82" s="795" t="s">
        <v>826</v>
      </c>
      <c r="F82" s="795"/>
      <c r="G82" s="795"/>
      <c r="H82" s="795"/>
      <c r="I82" s="795"/>
      <c r="J82" s="795"/>
      <c r="K82" s="795"/>
      <c r="L82" s="795"/>
      <c r="M82" s="795"/>
    </row>
    <row r="83" spans="1:13" x14ac:dyDescent="0.2">
      <c r="A83" s="795"/>
      <c r="B83" s="795"/>
      <c r="C83" s="795"/>
      <c r="D83" s="795"/>
      <c r="E83" s="795" t="s">
        <v>752</v>
      </c>
      <c r="F83" s="795"/>
      <c r="G83" s="795"/>
      <c r="H83" s="795"/>
      <c r="I83" s="795"/>
      <c r="J83" s="795"/>
      <c r="K83" s="795"/>
      <c r="L83" s="795"/>
      <c r="M83" s="795"/>
    </row>
    <row r="84" spans="1:13" x14ac:dyDescent="0.2">
      <c r="A84" s="795"/>
      <c r="B84" s="795"/>
      <c r="C84" s="795"/>
      <c r="D84" s="795"/>
      <c r="E84" s="795" t="s">
        <v>653</v>
      </c>
      <c r="F84" s="795"/>
      <c r="G84" s="795"/>
      <c r="H84" s="795"/>
      <c r="I84" s="795"/>
      <c r="J84" s="795"/>
      <c r="K84" s="795"/>
      <c r="L84" s="795"/>
      <c r="M84" s="795"/>
    </row>
    <row r="85" spans="1:13" x14ac:dyDescent="0.2">
      <c r="A85" s="795"/>
      <c r="B85" s="795"/>
      <c r="C85" s="795"/>
      <c r="D85" s="795"/>
      <c r="E85" s="795" t="s">
        <v>753</v>
      </c>
      <c r="F85" s="795"/>
      <c r="G85" s="795"/>
      <c r="H85" s="795"/>
      <c r="I85" s="795"/>
      <c r="J85" s="795"/>
      <c r="K85" s="795"/>
      <c r="L85" s="795"/>
      <c r="M85" s="795"/>
    </row>
    <row r="86" spans="1:13" x14ac:dyDescent="0.2">
      <c r="A86" s="795"/>
      <c r="B86" s="795"/>
      <c r="C86" s="795"/>
      <c r="D86" s="795"/>
      <c r="E86" s="795" t="s">
        <v>827</v>
      </c>
      <c r="F86" s="795"/>
      <c r="G86" s="795"/>
      <c r="H86" s="795"/>
      <c r="I86" s="795"/>
      <c r="J86" s="795"/>
      <c r="K86" s="795"/>
      <c r="L86" s="795"/>
      <c r="M86" s="795"/>
    </row>
    <row r="87" spans="1:13" x14ac:dyDescent="0.2">
      <c r="A87" s="795"/>
      <c r="B87" s="795"/>
      <c r="C87" s="795"/>
      <c r="D87" s="795"/>
      <c r="E87" s="795" t="s">
        <v>828</v>
      </c>
      <c r="F87" s="795"/>
      <c r="G87" s="795"/>
      <c r="H87" s="795"/>
      <c r="I87" s="795"/>
      <c r="J87" s="795"/>
      <c r="K87" s="795"/>
      <c r="L87" s="795"/>
      <c r="M87" s="795"/>
    </row>
    <row r="88" spans="1:13" x14ac:dyDescent="0.2">
      <c r="A88" s="795"/>
      <c r="B88" s="795"/>
      <c r="C88" s="795"/>
      <c r="D88" s="795"/>
      <c r="E88" s="795" t="s">
        <v>829</v>
      </c>
      <c r="F88" s="795"/>
      <c r="G88" s="795"/>
      <c r="H88" s="795"/>
      <c r="I88" s="795"/>
      <c r="J88" s="795"/>
      <c r="K88" s="795"/>
      <c r="L88" s="795"/>
      <c r="M88" s="795"/>
    </row>
    <row r="89" spans="1:13" x14ac:dyDescent="0.2">
      <c r="A89" s="795"/>
      <c r="B89" s="795"/>
      <c r="C89" s="795"/>
      <c r="D89" s="795"/>
      <c r="E89" s="795" t="s">
        <v>830</v>
      </c>
      <c r="F89" s="795"/>
      <c r="G89" s="795"/>
      <c r="H89" s="795"/>
      <c r="I89" s="795"/>
      <c r="J89" s="795"/>
      <c r="K89" s="795"/>
      <c r="L89" s="795"/>
      <c r="M89" s="795"/>
    </row>
    <row r="90" spans="1:13" x14ac:dyDescent="0.2">
      <c r="A90" s="795"/>
      <c r="B90" s="795"/>
      <c r="C90" s="795"/>
      <c r="D90" s="795"/>
      <c r="E90" s="795" t="s">
        <v>754</v>
      </c>
      <c r="F90" s="795"/>
      <c r="G90" s="795"/>
      <c r="H90" s="795"/>
      <c r="I90" s="795"/>
      <c r="J90" s="795"/>
      <c r="K90" s="795"/>
      <c r="L90" s="795"/>
      <c r="M90" s="795"/>
    </row>
    <row r="91" spans="1:13" x14ac:dyDescent="0.2">
      <c r="A91" s="795"/>
      <c r="B91" s="795"/>
      <c r="C91" s="795"/>
      <c r="D91" s="795"/>
      <c r="E91" s="795" t="s">
        <v>831</v>
      </c>
      <c r="F91" s="795"/>
      <c r="G91" s="795"/>
      <c r="H91" s="795"/>
      <c r="I91" s="795"/>
      <c r="J91" s="795"/>
      <c r="K91" s="795"/>
      <c r="L91" s="795"/>
      <c r="M91" s="795"/>
    </row>
    <row r="92" spans="1:13" x14ac:dyDescent="0.2">
      <c r="A92" s="795"/>
      <c r="B92" s="795"/>
      <c r="C92" s="795"/>
      <c r="D92" s="795"/>
      <c r="E92" s="795" t="s">
        <v>832</v>
      </c>
      <c r="F92" s="795"/>
      <c r="G92" s="795"/>
      <c r="H92" s="795"/>
      <c r="I92" s="795"/>
      <c r="J92" s="795"/>
      <c r="K92" s="795"/>
      <c r="L92" s="795"/>
      <c r="M92" s="795"/>
    </row>
    <row r="93" spans="1:13" x14ac:dyDescent="0.2">
      <c r="A93" s="795"/>
      <c r="B93" s="795"/>
      <c r="C93" s="795"/>
      <c r="D93" s="795"/>
      <c r="E93" s="795" t="s">
        <v>728</v>
      </c>
      <c r="F93" s="795"/>
      <c r="G93" s="795"/>
      <c r="H93" s="795"/>
      <c r="I93" s="795"/>
      <c r="J93" s="795"/>
      <c r="K93" s="795"/>
      <c r="L93" s="795"/>
      <c r="M93" s="795"/>
    </row>
    <row r="94" spans="1:13" x14ac:dyDescent="0.2">
      <c r="A94" s="795"/>
      <c r="B94" s="795"/>
      <c r="C94" s="795"/>
      <c r="D94" s="795"/>
      <c r="E94" s="795" t="s">
        <v>612</v>
      </c>
      <c r="F94" s="795"/>
      <c r="G94" s="795"/>
      <c r="H94" s="795"/>
      <c r="I94" s="795"/>
      <c r="J94" s="795"/>
      <c r="K94" s="795"/>
      <c r="L94" s="795"/>
      <c r="M94" s="795"/>
    </row>
    <row r="95" spans="1:13" x14ac:dyDescent="0.2">
      <c r="A95" s="795"/>
      <c r="B95" s="795"/>
      <c r="C95" s="795"/>
      <c r="D95" s="795"/>
      <c r="E95" s="795" t="s">
        <v>623</v>
      </c>
      <c r="F95" s="795"/>
      <c r="G95" s="795"/>
      <c r="H95" s="795"/>
      <c r="I95" s="795"/>
      <c r="J95" s="795"/>
      <c r="K95" s="795"/>
      <c r="L95" s="795"/>
      <c r="M95" s="795"/>
    </row>
    <row r="96" spans="1:13" x14ac:dyDescent="0.2">
      <c r="A96" s="795"/>
      <c r="B96" s="795"/>
      <c r="C96" s="795"/>
      <c r="D96" s="795"/>
      <c r="E96" s="795" t="s">
        <v>833</v>
      </c>
      <c r="F96" s="795"/>
      <c r="G96" s="795"/>
      <c r="H96" s="795"/>
      <c r="I96" s="795"/>
      <c r="J96" s="795"/>
      <c r="K96" s="795"/>
      <c r="L96" s="795"/>
      <c r="M96" s="795"/>
    </row>
    <row r="97" spans="1:13" x14ac:dyDescent="0.2">
      <c r="A97" s="795"/>
      <c r="B97" s="795"/>
      <c r="C97" s="795"/>
      <c r="D97" s="795"/>
      <c r="E97" s="795" t="s">
        <v>834</v>
      </c>
      <c r="F97" s="795"/>
      <c r="G97" s="795"/>
      <c r="H97" s="795"/>
      <c r="I97" s="795"/>
      <c r="J97" s="795"/>
      <c r="K97" s="795"/>
      <c r="L97" s="795"/>
      <c r="M97" s="795"/>
    </row>
    <row r="98" spans="1:13" x14ac:dyDescent="0.2">
      <c r="A98" s="795"/>
      <c r="B98" s="795"/>
      <c r="C98" s="795"/>
      <c r="D98" s="795"/>
      <c r="E98" s="795" t="s">
        <v>835</v>
      </c>
      <c r="F98" s="795"/>
      <c r="G98" s="795"/>
      <c r="H98" s="795"/>
      <c r="I98" s="795"/>
      <c r="J98" s="795"/>
      <c r="K98" s="795"/>
      <c r="L98" s="795"/>
      <c r="M98" s="795"/>
    </row>
    <row r="99" spans="1:13" x14ac:dyDescent="0.2">
      <c r="A99" s="795"/>
      <c r="B99" s="795"/>
      <c r="C99" s="795"/>
      <c r="D99" s="795"/>
      <c r="E99" s="795" t="s">
        <v>729</v>
      </c>
      <c r="F99" s="795"/>
      <c r="G99" s="795"/>
      <c r="H99" s="795"/>
      <c r="I99" s="795"/>
      <c r="J99" s="795"/>
      <c r="K99" s="795"/>
      <c r="L99" s="795"/>
      <c r="M99" s="795"/>
    </row>
    <row r="100" spans="1:13" x14ac:dyDescent="0.2">
      <c r="A100" s="795"/>
      <c r="B100" s="795"/>
      <c r="C100" s="795"/>
      <c r="D100" s="795"/>
      <c r="E100" s="795" t="s">
        <v>836</v>
      </c>
      <c r="F100" s="795"/>
      <c r="G100" s="795"/>
      <c r="H100" s="795"/>
      <c r="I100" s="795"/>
      <c r="J100" s="795"/>
      <c r="K100" s="795"/>
      <c r="L100" s="795"/>
      <c r="M100" s="795"/>
    </row>
    <row r="101" spans="1:13" x14ac:dyDescent="0.2">
      <c r="A101" s="795"/>
      <c r="B101" s="795"/>
      <c r="C101" s="795"/>
      <c r="D101" s="795"/>
      <c r="E101" s="795" t="s">
        <v>654</v>
      </c>
      <c r="F101" s="795"/>
      <c r="G101" s="795"/>
      <c r="H101" s="795"/>
      <c r="I101" s="795"/>
      <c r="J101" s="795"/>
      <c r="K101" s="795"/>
      <c r="L101" s="795"/>
      <c r="M101" s="795"/>
    </row>
    <row r="102" spans="1:13" x14ac:dyDescent="0.2">
      <c r="A102" s="795"/>
      <c r="B102" s="795"/>
      <c r="C102" s="795"/>
      <c r="D102" s="795"/>
      <c r="E102" s="795" t="s">
        <v>655</v>
      </c>
      <c r="F102" s="795"/>
      <c r="G102" s="795"/>
      <c r="H102" s="795"/>
      <c r="I102" s="795"/>
      <c r="J102" s="795"/>
      <c r="K102" s="795"/>
      <c r="L102" s="795"/>
      <c r="M102" s="795"/>
    </row>
    <row r="103" spans="1:13" x14ac:dyDescent="0.2">
      <c r="A103" s="795"/>
      <c r="B103" s="795"/>
      <c r="C103" s="795"/>
      <c r="D103" s="795"/>
      <c r="E103" s="795" t="s">
        <v>656</v>
      </c>
      <c r="F103" s="795"/>
      <c r="G103" s="795"/>
      <c r="H103" s="795"/>
      <c r="I103" s="795"/>
      <c r="J103" s="795"/>
      <c r="K103" s="795"/>
      <c r="L103" s="795"/>
      <c r="M103" s="795"/>
    </row>
    <row r="104" spans="1:13" x14ac:dyDescent="0.2">
      <c r="A104" s="795"/>
      <c r="B104" s="795"/>
      <c r="C104" s="795"/>
      <c r="D104" s="795"/>
      <c r="E104" s="795" t="s">
        <v>837</v>
      </c>
      <c r="F104" s="795"/>
      <c r="G104" s="795"/>
      <c r="H104" s="795"/>
      <c r="I104" s="795"/>
      <c r="J104" s="795"/>
      <c r="K104" s="795"/>
      <c r="L104" s="795"/>
      <c r="M104" s="795"/>
    </row>
    <row r="105" spans="1:13" x14ac:dyDescent="0.2">
      <c r="A105" s="795"/>
      <c r="B105" s="795"/>
      <c r="C105" s="795"/>
      <c r="D105" s="795"/>
      <c r="E105" s="795" t="s">
        <v>838</v>
      </c>
      <c r="F105" s="795"/>
      <c r="G105" s="795"/>
      <c r="H105" s="795"/>
      <c r="I105" s="795"/>
      <c r="J105" s="795"/>
      <c r="K105" s="795"/>
      <c r="L105" s="795"/>
      <c r="M105" s="795"/>
    </row>
    <row r="106" spans="1:13" x14ac:dyDescent="0.2">
      <c r="A106" s="795"/>
      <c r="B106" s="795"/>
      <c r="C106" s="795"/>
      <c r="D106" s="795"/>
      <c r="E106" s="795" t="s">
        <v>755</v>
      </c>
      <c r="F106" s="795"/>
      <c r="G106" s="795"/>
      <c r="H106" s="795"/>
      <c r="I106" s="795"/>
      <c r="J106" s="795"/>
      <c r="K106" s="795"/>
      <c r="L106" s="795"/>
      <c r="M106" s="795"/>
    </row>
    <row r="107" spans="1:13" x14ac:dyDescent="0.2">
      <c r="A107" s="795"/>
      <c r="B107" s="795"/>
      <c r="C107" s="795"/>
      <c r="D107" s="795"/>
      <c r="E107" s="795" t="s">
        <v>840</v>
      </c>
      <c r="F107" s="795"/>
      <c r="G107" s="795"/>
      <c r="H107" s="795"/>
      <c r="I107" s="795"/>
      <c r="J107" s="795"/>
      <c r="K107" s="795"/>
      <c r="L107" s="795"/>
      <c r="M107" s="795"/>
    </row>
    <row r="108" spans="1:13" x14ac:dyDescent="0.2">
      <c r="A108" s="795"/>
      <c r="B108" s="795"/>
      <c r="C108" s="795"/>
      <c r="D108" s="795"/>
      <c r="E108" s="795" t="s">
        <v>657</v>
      </c>
      <c r="F108" s="795"/>
      <c r="G108" s="795"/>
      <c r="H108" s="795"/>
      <c r="I108" s="795"/>
      <c r="J108" s="795"/>
      <c r="K108" s="795"/>
      <c r="L108" s="795"/>
      <c r="M108" s="795"/>
    </row>
    <row r="109" spans="1:13" x14ac:dyDescent="0.2">
      <c r="A109" s="795"/>
      <c r="B109" s="795"/>
      <c r="C109" s="795"/>
      <c r="D109" s="795"/>
      <c r="E109" s="795" t="s">
        <v>841</v>
      </c>
      <c r="F109" s="795"/>
      <c r="G109" s="795"/>
      <c r="H109" s="795"/>
      <c r="I109" s="795"/>
      <c r="J109" s="795"/>
      <c r="K109" s="795"/>
      <c r="L109" s="795"/>
      <c r="M109" s="795"/>
    </row>
    <row r="110" spans="1:13" x14ac:dyDescent="0.2">
      <c r="A110" s="795"/>
      <c r="B110" s="795"/>
      <c r="C110" s="795"/>
      <c r="D110" s="795"/>
      <c r="E110" s="795" t="s">
        <v>842</v>
      </c>
      <c r="F110" s="795"/>
      <c r="G110" s="795"/>
      <c r="H110" s="795"/>
      <c r="I110" s="795"/>
      <c r="J110" s="795"/>
      <c r="K110" s="795"/>
      <c r="L110" s="795"/>
      <c r="M110" s="795"/>
    </row>
    <row r="111" spans="1:13" x14ac:dyDescent="0.2">
      <c r="A111" s="795"/>
      <c r="B111" s="795"/>
      <c r="C111" s="795"/>
      <c r="D111" s="795"/>
      <c r="E111" s="795" t="s">
        <v>843</v>
      </c>
      <c r="F111" s="795"/>
      <c r="G111" s="795"/>
      <c r="H111" s="795"/>
      <c r="I111" s="795"/>
      <c r="J111" s="795"/>
      <c r="K111" s="795"/>
      <c r="L111" s="795"/>
      <c r="M111" s="795"/>
    </row>
    <row r="112" spans="1:13" x14ac:dyDescent="0.2">
      <c r="A112" s="795"/>
      <c r="B112" s="795"/>
      <c r="C112" s="795"/>
      <c r="D112" s="795"/>
      <c r="E112" s="795" t="s">
        <v>844</v>
      </c>
      <c r="F112" s="795"/>
      <c r="G112" s="795"/>
      <c r="H112" s="795"/>
      <c r="I112" s="795"/>
      <c r="J112" s="795"/>
      <c r="K112" s="795"/>
      <c r="L112" s="795"/>
      <c r="M112" s="795"/>
    </row>
    <row r="113" spans="1:13" x14ac:dyDescent="0.2">
      <c r="A113" s="795"/>
      <c r="B113" s="795"/>
      <c r="C113" s="795"/>
      <c r="D113" s="795"/>
      <c r="E113" s="795" t="s">
        <v>845</v>
      </c>
      <c r="F113" s="795"/>
      <c r="G113" s="795"/>
      <c r="H113" s="795"/>
      <c r="I113" s="795"/>
      <c r="J113" s="795"/>
      <c r="K113" s="795"/>
      <c r="L113" s="795"/>
      <c r="M113" s="795"/>
    </row>
    <row r="114" spans="1:13" x14ac:dyDescent="0.2">
      <c r="A114" s="795"/>
      <c r="B114" s="795"/>
      <c r="C114" s="795"/>
      <c r="D114" s="795"/>
      <c r="E114" s="795" t="s">
        <v>846</v>
      </c>
      <c r="F114" s="795"/>
      <c r="G114" s="795"/>
      <c r="H114" s="795"/>
      <c r="I114" s="795"/>
      <c r="J114" s="795"/>
      <c r="K114" s="795"/>
      <c r="L114" s="795"/>
      <c r="M114" s="795"/>
    </row>
    <row r="115" spans="1:13" x14ac:dyDescent="0.2">
      <c r="A115" s="795"/>
      <c r="B115" s="795"/>
      <c r="C115" s="795"/>
      <c r="D115" s="795"/>
      <c r="E115" s="795" t="s">
        <v>847</v>
      </c>
      <c r="F115" s="795"/>
      <c r="G115" s="795"/>
      <c r="H115" s="795"/>
      <c r="I115" s="795"/>
      <c r="J115" s="795"/>
      <c r="K115" s="795"/>
      <c r="L115" s="795"/>
      <c r="M115" s="795"/>
    </row>
    <row r="116" spans="1:13" x14ac:dyDescent="0.2">
      <c r="A116" s="795"/>
      <c r="B116" s="795"/>
      <c r="C116" s="795"/>
      <c r="D116" s="795"/>
      <c r="E116" s="795" t="s">
        <v>756</v>
      </c>
      <c r="F116" s="795"/>
      <c r="G116" s="795"/>
      <c r="H116" s="795"/>
      <c r="I116" s="795"/>
      <c r="J116" s="795"/>
      <c r="K116" s="795"/>
      <c r="L116" s="795"/>
      <c r="M116" s="795"/>
    </row>
    <row r="117" spans="1:13" x14ac:dyDescent="0.2">
      <c r="A117" s="795"/>
      <c r="B117" s="795"/>
      <c r="C117" s="795"/>
      <c r="D117" s="795"/>
      <c r="E117" s="795" t="s">
        <v>757</v>
      </c>
      <c r="F117" s="795"/>
      <c r="G117" s="795"/>
      <c r="H117" s="795"/>
      <c r="I117" s="795"/>
      <c r="J117" s="795"/>
      <c r="K117" s="795"/>
      <c r="L117" s="795"/>
      <c r="M117" s="795"/>
    </row>
    <row r="118" spans="1:13" x14ac:dyDescent="0.2">
      <c r="A118" s="795"/>
      <c r="B118" s="795"/>
      <c r="C118" s="795"/>
      <c r="D118" s="795"/>
      <c r="E118" s="795" t="s">
        <v>848</v>
      </c>
      <c r="F118" s="795"/>
      <c r="G118" s="795"/>
      <c r="H118" s="795"/>
      <c r="I118" s="795"/>
      <c r="J118" s="795"/>
      <c r="K118" s="795"/>
      <c r="L118" s="795"/>
      <c r="M118" s="795"/>
    </row>
    <row r="119" spans="1:13" x14ac:dyDescent="0.2">
      <c r="A119" s="795"/>
      <c r="B119" s="795"/>
      <c r="C119" s="795"/>
      <c r="D119" s="795"/>
      <c r="E119" s="795" t="s">
        <v>631</v>
      </c>
      <c r="F119" s="795"/>
      <c r="G119" s="795"/>
      <c r="H119" s="795"/>
      <c r="I119" s="795"/>
      <c r="J119" s="795"/>
      <c r="K119" s="795"/>
      <c r="L119" s="795"/>
      <c r="M119" s="795"/>
    </row>
    <row r="120" spans="1:13" x14ac:dyDescent="0.2">
      <c r="A120" s="795"/>
      <c r="B120" s="795"/>
      <c r="C120" s="795"/>
      <c r="D120" s="795"/>
      <c r="E120" s="795" t="s">
        <v>658</v>
      </c>
      <c r="F120" s="795"/>
      <c r="G120" s="795"/>
      <c r="H120" s="795"/>
      <c r="I120" s="795"/>
      <c r="J120" s="795"/>
      <c r="K120" s="795"/>
      <c r="L120" s="795"/>
      <c r="M120" s="795"/>
    </row>
    <row r="121" spans="1:13" x14ac:dyDescent="0.2">
      <c r="A121" s="795"/>
      <c r="B121" s="795"/>
      <c r="C121" s="795"/>
      <c r="D121" s="795"/>
      <c r="E121" s="795" t="s">
        <v>849</v>
      </c>
      <c r="F121" s="795"/>
      <c r="G121" s="795"/>
      <c r="H121" s="795"/>
      <c r="I121" s="795"/>
      <c r="J121" s="795"/>
      <c r="K121" s="795"/>
      <c r="L121" s="795"/>
      <c r="M121" s="795"/>
    </row>
    <row r="122" spans="1:13" x14ac:dyDescent="0.2">
      <c r="A122" s="795"/>
      <c r="B122" s="795"/>
      <c r="C122" s="795"/>
      <c r="D122" s="795"/>
      <c r="E122" s="795" t="s">
        <v>850</v>
      </c>
      <c r="F122" s="795"/>
      <c r="G122" s="795"/>
      <c r="H122" s="795"/>
      <c r="I122" s="795"/>
      <c r="J122" s="795"/>
      <c r="K122" s="795"/>
      <c r="L122" s="795"/>
      <c r="M122" s="795"/>
    </row>
    <row r="123" spans="1:13" x14ac:dyDescent="0.2">
      <c r="A123" s="795"/>
      <c r="B123" s="795"/>
      <c r="C123" s="795"/>
      <c r="D123" s="795"/>
      <c r="E123" s="795" t="s">
        <v>659</v>
      </c>
      <c r="F123" s="795"/>
      <c r="G123" s="795"/>
      <c r="H123" s="795"/>
      <c r="I123" s="795"/>
      <c r="J123" s="795"/>
      <c r="K123" s="795"/>
      <c r="L123" s="795"/>
      <c r="M123" s="795"/>
    </row>
    <row r="124" spans="1:13" x14ac:dyDescent="0.2">
      <c r="A124" s="795"/>
      <c r="B124" s="795"/>
      <c r="C124" s="795"/>
      <c r="D124" s="795"/>
      <c r="E124" s="795" t="s">
        <v>758</v>
      </c>
      <c r="F124" s="795"/>
      <c r="G124" s="795"/>
      <c r="H124" s="795"/>
      <c r="I124" s="795"/>
      <c r="J124" s="795"/>
      <c r="K124" s="795"/>
      <c r="L124" s="795"/>
      <c r="M124" s="795"/>
    </row>
    <row r="125" spans="1:13" x14ac:dyDescent="0.2">
      <c r="A125" s="795"/>
      <c r="B125" s="795"/>
      <c r="C125" s="795"/>
      <c r="D125" s="795"/>
      <c r="E125" s="795" t="s">
        <v>851</v>
      </c>
      <c r="F125" s="795"/>
      <c r="G125" s="795"/>
      <c r="H125" s="795"/>
      <c r="I125" s="795"/>
      <c r="J125" s="795"/>
      <c r="K125" s="795"/>
      <c r="L125" s="795"/>
      <c r="M125" s="795"/>
    </row>
    <row r="126" spans="1:13" x14ac:dyDescent="0.2">
      <c r="A126" s="795"/>
      <c r="B126" s="795"/>
      <c r="C126" s="795"/>
      <c r="D126" s="795"/>
      <c r="E126" s="795" t="s">
        <v>759</v>
      </c>
      <c r="F126" s="795"/>
      <c r="G126" s="795"/>
      <c r="H126" s="795"/>
      <c r="I126" s="795"/>
      <c r="J126" s="795"/>
      <c r="K126" s="795"/>
      <c r="L126" s="795"/>
      <c r="M126" s="795"/>
    </row>
    <row r="127" spans="1:13" x14ac:dyDescent="0.2">
      <c r="A127" s="795"/>
      <c r="B127" s="795"/>
      <c r="C127" s="795"/>
      <c r="D127" s="795"/>
      <c r="E127" s="795" t="s">
        <v>852</v>
      </c>
      <c r="F127" s="795"/>
      <c r="G127" s="795"/>
      <c r="H127" s="795"/>
      <c r="I127" s="795"/>
      <c r="J127" s="795"/>
      <c r="K127" s="795"/>
      <c r="L127" s="795"/>
      <c r="M127" s="795"/>
    </row>
    <row r="128" spans="1:13" x14ac:dyDescent="0.2">
      <c r="A128" s="795"/>
      <c r="B128" s="795"/>
      <c r="C128" s="795"/>
      <c r="D128" s="795"/>
      <c r="E128" s="795" t="s">
        <v>853</v>
      </c>
      <c r="F128" s="795"/>
      <c r="G128" s="795"/>
      <c r="H128" s="795"/>
      <c r="I128" s="795"/>
      <c r="J128" s="795"/>
      <c r="K128" s="795"/>
      <c r="L128" s="795"/>
      <c r="M128" s="795"/>
    </row>
    <row r="129" spans="1:13" x14ac:dyDescent="0.2">
      <c r="A129" s="795"/>
      <c r="B129" s="795"/>
      <c r="C129" s="795"/>
      <c r="D129" s="795"/>
      <c r="E129" s="795" t="s">
        <v>629</v>
      </c>
      <c r="F129" s="795"/>
      <c r="G129" s="795"/>
      <c r="H129" s="795"/>
      <c r="I129" s="795"/>
      <c r="J129" s="795"/>
      <c r="K129" s="795"/>
      <c r="L129" s="795"/>
      <c r="M129" s="795"/>
    </row>
    <row r="130" spans="1:13" x14ac:dyDescent="0.2">
      <c r="A130" s="795"/>
      <c r="B130" s="795"/>
      <c r="C130" s="795"/>
      <c r="D130" s="795"/>
      <c r="E130" s="795" t="s">
        <v>854</v>
      </c>
      <c r="F130" s="795"/>
      <c r="G130" s="795"/>
      <c r="H130" s="795"/>
      <c r="I130" s="795"/>
      <c r="J130" s="795"/>
      <c r="K130" s="795"/>
      <c r="L130" s="795"/>
      <c r="M130" s="795"/>
    </row>
    <row r="131" spans="1:13" x14ac:dyDescent="0.2">
      <c r="A131" s="795"/>
      <c r="B131" s="795"/>
      <c r="C131" s="795"/>
      <c r="D131" s="795"/>
      <c r="E131" s="795" t="s">
        <v>855</v>
      </c>
      <c r="F131" s="795"/>
      <c r="G131" s="795"/>
      <c r="H131" s="795"/>
      <c r="I131" s="795"/>
      <c r="J131" s="795"/>
      <c r="K131" s="795"/>
      <c r="L131" s="795"/>
      <c r="M131" s="795"/>
    </row>
    <row r="132" spans="1:13" x14ac:dyDescent="0.2">
      <c r="A132" s="795"/>
      <c r="B132" s="795"/>
      <c r="C132" s="795"/>
      <c r="D132" s="795"/>
      <c r="E132" s="795" t="s">
        <v>660</v>
      </c>
      <c r="F132" s="795"/>
      <c r="G132" s="795"/>
      <c r="H132" s="795"/>
      <c r="I132" s="795"/>
      <c r="J132" s="795"/>
      <c r="K132" s="795"/>
      <c r="L132" s="795"/>
      <c r="M132" s="795"/>
    </row>
    <row r="133" spans="1:13" x14ac:dyDescent="0.2">
      <c r="A133" s="795"/>
      <c r="B133" s="795"/>
      <c r="C133" s="795"/>
      <c r="D133" s="795"/>
      <c r="E133" s="795" t="s">
        <v>856</v>
      </c>
      <c r="F133" s="795"/>
      <c r="G133" s="795"/>
      <c r="H133" s="795"/>
      <c r="I133" s="795"/>
      <c r="J133" s="795"/>
      <c r="K133" s="795"/>
      <c r="L133" s="795"/>
      <c r="M133" s="795"/>
    </row>
    <row r="134" spans="1:13" x14ac:dyDescent="0.2">
      <c r="A134" s="795"/>
      <c r="B134" s="795"/>
      <c r="C134" s="795"/>
      <c r="D134" s="795"/>
      <c r="E134" s="795" t="s">
        <v>661</v>
      </c>
      <c r="F134" s="795"/>
      <c r="G134" s="795"/>
      <c r="H134" s="795"/>
      <c r="I134" s="795"/>
      <c r="J134" s="795"/>
      <c r="K134" s="795"/>
      <c r="L134" s="795"/>
      <c r="M134" s="795"/>
    </row>
    <row r="135" spans="1:13" x14ac:dyDescent="0.2">
      <c r="A135" s="795"/>
      <c r="B135" s="795"/>
      <c r="C135" s="795"/>
      <c r="D135" s="795"/>
      <c r="E135" s="795" t="s">
        <v>857</v>
      </c>
      <c r="F135" s="795"/>
      <c r="G135" s="795"/>
      <c r="H135" s="795"/>
      <c r="I135" s="795"/>
      <c r="J135" s="795"/>
      <c r="K135" s="795"/>
      <c r="L135" s="795"/>
      <c r="M135" s="795"/>
    </row>
    <row r="136" spans="1:13" x14ac:dyDescent="0.2">
      <c r="A136" s="795"/>
      <c r="B136" s="795"/>
      <c r="C136" s="795"/>
      <c r="D136" s="795"/>
      <c r="E136" s="795" t="s">
        <v>858</v>
      </c>
      <c r="F136" s="795"/>
      <c r="G136" s="795"/>
      <c r="H136" s="795"/>
      <c r="I136" s="795"/>
      <c r="J136" s="795"/>
      <c r="K136" s="795"/>
      <c r="L136" s="795"/>
      <c r="M136" s="795"/>
    </row>
    <row r="137" spans="1:13" x14ac:dyDescent="0.2">
      <c r="A137" s="795"/>
      <c r="B137" s="795"/>
      <c r="C137" s="795"/>
      <c r="D137" s="795"/>
      <c r="E137" s="795" t="s">
        <v>662</v>
      </c>
      <c r="F137" s="795"/>
      <c r="G137" s="795"/>
      <c r="H137" s="795"/>
      <c r="I137" s="795"/>
      <c r="J137" s="795"/>
      <c r="K137" s="795"/>
      <c r="L137" s="795"/>
      <c r="M137" s="795"/>
    </row>
    <row r="138" spans="1:13" x14ac:dyDescent="0.2">
      <c r="A138" s="795"/>
      <c r="B138" s="795"/>
      <c r="C138" s="795"/>
      <c r="D138" s="795"/>
      <c r="E138" s="795" t="s">
        <v>859</v>
      </c>
      <c r="F138" s="795"/>
      <c r="G138" s="795"/>
      <c r="H138" s="795"/>
      <c r="I138" s="795"/>
      <c r="J138" s="795"/>
      <c r="K138" s="795"/>
      <c r="L138" s="795"/>
      <c r="M138" s="795"/>
    </row>
    <row r="139" spans="1:13" x14ac:dyDescent="0.2">
      <c r="A139" s="795"/>
      <c r="B139" s="795"/>
      <c r="C139" s="795"/>
      <c r="D139" s="795"/>
      <c r="E139" s="795" t="s">
        <v>760</v>
      </c>
      <c r="F139" s="795"/>
      <c r="G139" s="795"/>
      <c r="H139" s="795"/>
      <c r="I139" s="795"/>
      <c r="J139" s="795"/>
      <c r="K139" s="795"/>
      <c r="L139" s="795"/>
      <c r="M139" s="795"/>
    </row>
    <row r="140" spans="1:13" x14ac:dyDescent="0.2">
      <c r="A140" s="795"/>
      <c r="B140" s="795"/>
      <c r="C140" s="795"/>
      <c r="D140" s="795"/>
      <c r="E140" s="795" t="s">
        <v>663</v>
      </c>
      <c r="F140" s="795"/>
      <c r="G140" s="795"/>
      <c r="H140" s="795"/>
      <c r="I140" s="795"/>
      <c r="J140" s="795"/>
      <c r="K140" s="795"/>
      <c r="L140" s="795"/>
      <c r="M140" s="795"/>
    </row>
    <row r="141" spans="1:13" x14ac:dyDescent="0.2">
      <c r="A141" s="795"/>
      <c r="B141" s="795"/>
      <c r="C141" s="795"/>
      <c r="D141" s="795"/>
      <c r="E141" s="795" t="s">
        <v>860</v>
      </c>
      <c r="F141" s="795"/>
      <c r="G141" s="795"/>
      <c r="H141" s="795"/>
      <c r="I141" s="795"/>
      <c r="J141" s="795"/>
      <c r="K141" s="795"/>
      <c r="L141" s="795"/>
      <c r="M141" s="795"/>
    </row>
    <row r="142" spans="1:13" x14ac:dyDescent="0.2">
      <c r="A142" s="795"/>
      <c r="B142" s="795"/>
      <c r="C142" s="795"/>
      <c r="D142" s="795"/>
      <c r="E142" s="795" t="s">
        <v>618</v>
      </c>
      <c r="F142" s="795"/>
      <c r="G142" s="795"/>
      <c r="H142" s="795"/>
      <c r="I142" s="795"/>
      <c r="J142" s="795"/>
      <c r="K142" s="795"/>
      <c r="L142" s="795"/>
      <c r="M142" s="795"/>
    </row>
    <row r="143" spans="1:13" x14ac:dyDescent="0.2">
      <c r="A143" s="795"/>
      <c r="B143" s="795"/>
      <c r="C143" s="795"/>
      <c r="D143" s="795"/>
      <c r="E143" s="795" t="s">
        <v>664</v>
      </c>
      <c r="F143" s="795"/>
      <c r="G143" s="795"/>
      <c r="H143" s="795"/>
      <c r="I143" s="795"/>
      <c r="J143" s="795"/>
      <c r="K143" s="795"/>
      <c r="L143" s="795"/>
      <c r="M143" s="795"/>
    </row>
    <row r="144" spans="1:13" x14ac:dyDescent="0.2">
      <c r="A144" s="795"/>
      <c r="B144" s="795"/>
      <c r="C144" s="795"/>
      <c r="D144" s="795"/>
      <c r="E144" s="795" t="s">
        <v>861</v>
      </c>
      <c r="F144" s="795"/>
      <c r="G144" s="795"/>
      <c r="H144" s="795"/>
      <c r="I144" s="795"/>
      <c r="J144" s="795"/>
      <c r="K144" s="795"/>
      <c r="L144" s="795"/>
      <c r="M144" s="795"/>
    </row>
    <row r="145" spans="1:13" x14ac:dyDescent="0.2">
      <c r="A145" s="795"/>
      <c r="B145" s="795"/>
      <c r="C145" s="795"/>
      <c r="D145" s="795"/>
      <c r="E145" s="795" t="s">
        <v>665</v>
      </c>
      <c r="F145" s="795"/>
      <c r="G145" s="795"/>
      <c r="H145" s="795"/>
      <c r="I145" s="795"/>
      <c r="J145" s="795"/>
      <c r="K145" s="795"/>
      <c r="L145" s="795"/>
      <c r="M145" s="795"/>
    </row>
    <row r="146" spans="1:13" x14ac:dyDescent="0.2">
      <c r="A146" s="795"/>
      <c r="B146" s="795"/>
      <c r="C146" s="795"/>
      <c r="D146" s="795"/>
      <c r="E146" s="795" t="s">
        <v>761</v>
      </c>
      <c r="F146" s="795"/>
      <c r="G146" s="795"/>
      <c r="H146" s="795"/>
      <c r="I146" s="795"/>
      <c r="J146" s="795"/>
      <c r="K146" s="795"/>
      <c r="L146" s="795"/>
      <c r="M146" s="795"/>
    </row>
    <row r="147" spans="1:13" x14ac:dyDescent="0.2">
      <c r="A147" s="795"/>
      <c r="B147" s="795"/>
      <c r="C147" s="795"/>
      <c r="D147" s="795"/>
      <c r="E147" s="795" t="s">
        <v>762</v>
      </c>
      <c r="F147" s="795"/>
      <c r="G147" s="795"/>
      <c r="H147" s="795"/>
      <c r="I147" s="795"/>
      <c r="J147" s="795"/>
      <c r="K147" s="795"/>
      <c r="L147" s="795"/>
      <c r="M147" s="795"/>
    </row>
    <row r="148" spans="1:13" x14ac:dyDescent="0.2">
      <c r="A148" s="795"/>
      <c r="B148" s="795"/>
      <c r="C148" s="795"/>
      <c r="D148" s="795"/>
      <c r="E148" s="795" t="s">
        <v>763</v>
      </c>
      <c r="F148" s="795"/>
      <c r="G148" s="795"/>
      <c r="H148" s="795"/>
      <c r="I148" s="795"/>
      <c r="J148" s="795"/>
      <c r="K148" s="795"/>
      <c r="L148" s="795"/>
      <c r="M148" s="795"/>
    </row>
    <row r="149" spans="1:13" x14ac:dyDescent="0.2">
      <c r="A149" s="795"/>
      <c r="B149" s="795"/>
      <c r="C149" s="795"/>
      <c r="D149" s="795"/>
      <c r="E149" s="795" t="s">
        <v>862</v>
      </c>
      <c r="F149" s="795"/>
      <c r="G149" s="795"/>
      <c r="H149" s="795"/>
      <c r="I149" s="795"/>
      <c r="J149" s="795"/>
      <c r="K149" s="795"/>
      <c r="L149" s="795"/>
      <c r="M149" s="795"/>
    </row>
    <row r="150" spans="1:13" x14ac:dyDescent="0.2">
      <c r="A150" s="795"/>
      <c r="B150" s="795"/>
      <c r="C150" s="795"/>
      <c r="D150" s="795"/>
      <c r="E150" s="795" t="s">
        <v>764</v>
      </c>
      <c r="F150" s="795"/>
      <c r="G150" s="795"/>
      <c r="H150" s="795"/>
      <c r="I150" s="795"/>
      <c r="J150" s="795"/>
      <c r="K150" s="795"/>
      <c r="L150" s="795"/>
      <c r="M150" s="795"/>
    </row>
    <row r="151" spans="1:13" x14ac:dyDescent="0.2">
      <c r="A151" s="795"/>
      <c r="B151" s="795"/>
      <c r="C151" s="795"/>
      <c r="D151" s="795"/>
      <c r="E151" s="795" t="s">
        <v>730</v>
      </c>
      <c r="F151" s="795"/>
      <c r="G151" s="795"/>
      <c r="H151" s="795"/>
      <c r="I151" s="795"/>
      <c r="J151" s="795"/>
      <c r="K151" s="795"/>
      <c r="L151" s="795"/>
      <c r="M151" s="795"/>
    </row>
    <row r="152" spans="1:13" x14ac:dyDescent="0.2">
      <c r="A152" s="795"/>
      <c r="B152" s="795"/>
      <c r="C152" s="795"/>
      <c r="D152" s="795"/>
      <c r="E152" s="795" t="s">
        <v>863</v>
      </c>
      <c r="F152" s="795"/>
      <c r="G152" s="795"/>
      <c r="H152" s="795"/>
      <c r="I152" s="795"/>
      <c r="J152" s="795"/>
      <c r="K152" s="795"/>
      <c r="L152" s="795"/>
      <c r="M152" s="795"/>
    </row>
    <row r="153" spans="1:13" x14ac:dyDescent="0.2">
      <c r="A153" s="795"/>
      <c r="B153" s="795"/>
      <c r="C153" s="795"/>
      <c r="D153" s="795"/>
      <c r="E153" s="795" t="s">
        <v>864</v>
      </c>
      <c r="F153" s="795"/>
      <c r="G153" s="795"/>
      <c r="H153" s="795"/>
      <c r="I153" s="795"/>
      <c r="J153" s="795"/>
      <c r="K153" s="795"/>
      <c r="L153" s="795"/>
      <c r="M153" s="795"/>
    </row>
    <row r="154" spans="1:13" x14ac:dyDescent="0.2">
      <c r="A154" s="795"/>
      <c r="B154" s="795"/>
      <c r="C154" s="795"/>
      <c r="D154" s="795"/>
      <c r="E154" s="795" t="s">
        <v>865</v>
      </c>
      <c r="F154" s="795"/>
      <c r="G154" s="795"/>
      <c r="H154" s="795"/>
      <c r="I154" s="795"/>
      <c r="J154" s="795"/>
      <c r="K154" s="795"/>
      <c r="L154" s="795"/>
      <c r="M154" s="795"/>
    </row>
    <row r="155" spans="1:13" x14ac:dyDescent="0.2">
      <c r="A155" s="795"/>
      <c r="B155" s="795"/>
      <c r="C155" s="795"/>
      <c r="D155" s="795"/>
      <c r="E155" s="795" t="s">
        <v>866</v>
      </c>
      <c r="F155" s="795"/>
      <c r="G155" s="795"/>
      <c r="H155" s="795"/>
      <c r="I155" s="795"/>
      <c r="J155" s="795"/>
      <c r="K155" s="795"/>
      <c r="L155" s="795"/>
      <c r="M155" s="795"/>
    </row>
    <row r="156" spans="1:13" x14ac:dyDescent="0.2">
      <c r="A156" s="795"/>
      <c r="B156" s="795"/>
      <c r="C156" s="795"/>
      <c r="D156" s="795"/>
      <c r="E156" s="795" t="s">
        <v>666</v>
      </c>
      <c r="F156" s="795"/>
      <c r="G156" s="795"/>
      <c r="H156" s="795"/>
      <c r="I156" s="795"/>
      <c r="J156" s="795"/>
      <c r="K156" s="795"/>
      <c r="L156" s="795"/>
      <c r="M156" s="795"/>
    </row>
    <row r="157" spans="1:13" x14ac:dyDescent="0.2">
      <c r="A157" s="795"/>
      <c r="B157" s="795"/>
      <c r="C157" s="795"/>
      <c r="D157" s="795"/>
      <c r="E157" s="795" t="s">
        <v>867</v>
      </c>
      <c r="F157" s="795"/>
      <c r="G157" s="795"/>
      <c r="H157" s="795"/>
      <c r="I157" s="795"/>
      <c r="J157" s="795"/>
      <c r="K157" s="795"/>
      <c r="L157" s="795"/>
      <c r="M157" s="795"/>
    </row>
    <row r="158" spans="1:13" x14ac:dyDescent="0.2">
      <c r="A158" s="795"/>
      <c r="B158" s="795"/>
      <c r="C158" s="795"/>
      <c r="D158" s="795"/>
      <c r="E158" s="795" t="s">
        <v>667</v>
      </c>
      <c r="F158" s="795"/>
      <c r="G158" s="795"/>
      <c r="H158" s="795"/>
      <c r="I158" s="795"/>
      <c r="J158" s="795"/>
      <c r="K158" s="795"/>
      <c r="L158" s="795"/>
      <c r="M158" s="795"/>
    </row>
    <row r="159" spans="1:13" x14ac:dyDescent="0.2">
      <c r="A159" s="795"/>
      <c r="B159" s="795"/>
      <c r="C159" s="795"/>
      <c r="D159" s="795"/>
      <c r="E159" s="795" t="s">
        <v>668</v>
      </c>
      <c r="F159" s="795"/>
      <c r="G159" s="795"/>
      <c r="H159" s="795"/>
      <c r="I159" s="795"/>
      <c r="J159" s="795"/>
      <c r="K159" s="795"/>
      <c r="L159" s="795"/>
      <c r="M159" s="795"/>
    </row>
    <row r="160" spans="1:13" x14ac:dyDescent="0.2">
      <c r="A160" s="795"/>
      <c r="B160" s="795"/>
      <c r="C160" s="795"/>
      <c r="D160" s="795"/>
      <c r="E160" s="795" t="s">
        <v>868</v>
      </c>
      <c r="F160" s="795"/>
      <c r="G160" s="795"/>
      <c r="H160" s="795"/>
      <c r="I160" s="795"/>
      <c r="J160" s="795"/>
      <c r="K160" s="795"/>
      <c r="L160" s="795"/>
      <c r="M160" s="795"/>
    </row>
    <row r="161" spans="1:13" x14ac:dyDescent="0.2">
      <c r="A161" s="795"/>
      <c r="B161" s="795"/>
      <c r="C161" s="795"/>
      <c r="D161" s="795"/>
      <c r="E161" s="795" t="s">
        <v>625</v>
      </c>
      <c r="F161" s="795"/>
      <c r="G161" s="795"/>
      <c r="H161" s="795"/>
      <c r="I161" s="795"/>
      <c r="J161" s="795"/>
      <c r="K161" s="795"/>
      <c r="L161" s="795"/>
      <c r="M161" s="795"/>
    </row>
    <row r="162" spans="1:13" x14ac:dyDescent="0.2">
      <c r="A162" s="795"/>
      <c r="B162" s="795"/>
      <c r="C162" s="795"/>
      <c r="D162" s="795"/>
      <c r="E162" s="795" t="s">
        <v>731</v>
      </c>
      <c r="F162" s="795"/>
      <c r="G162" s="795"/>
      <c r="H162" s="795"/>
      <c r="I162" s="795"/>
      <c r="J162" s="795"/>
      <c r="K162" s="795"/>
      <c r="L162" s="795"/>
      <c r="M162" s="795"/>
    </row>
    <row r="163" spans="1:13" x14ac:dyDescent="0.2">
      <c r="A163" s="795"/>
      <c r="B163" s="795"/>
      <c r="C163" s="795"/>
      <c r="D163" s="795"/>
      <c r="E163" s="795" t="s">
        <v>869</v>
      </c>
      <c r="F163" s="795"/>
      <c r="G163" s="795"/>
      <c r="H163" s="795"/>
      <c r="I163" s="795"/>
      <c r="J163" s="795"/>
      <c r="K163" s="795"/>
      <c r="L163" s="795"/>
      <c r="M163" s="795"/>
    </row>
    <row r="164" spans="1:13" x14ac:dyDescent="0.2">
      <c r="A164" s="795"/>
      <c r="B164" s="795"/>
      <c r="C164" s="795"/>
      <c r="D164" s="795"/>
      <c r="E164" s="795" t="s">
        <v>621</v>
      </c>
      <c r="F164" s="795"/>
      <c r="G164" s="795"/>
      <c r="H164" s="795"/>
      <c r="I164" s="795"/>
      <c r="J164" s="795"/>
      <c r="K164" s="795"/>
      <c r="L164" s="795"/>
      <c r="M164" s="795"/>
    </row>
    <row r="165" spans="1:13" x14ac:dyDescent="0.2">
      <c r="A165" s="795"/>
      <c r="B165" s="795"/>
      <c r="C165" s="795"/>
      <c r="D165" s="795"/>
      <c r="E165" s="795" t="s">
        <v>669</v>
      </c>
      <c r="F165" s="795"/>
      <c r="G165" s="795"/>
      <c r="H165" s="795"/>
      <c r="I165" s="795"/>
      <c r="J165" s="795"/>
      <c r="K165" s="795"/>
      <c r="L165" s="795"/>
      <c r="M165" s="795"/>
    </row>
    <row r="166" spans="1:13" x14ac:dyDescent="0.2">
      <c r="A166" s="795"/>
      <c r="B166" s="795"/>
      <c r="C166" s="795"/>
      <c r="D166" s="795"/>
      <c r="E166" s="795" t="s">
        <v>670</v>
      </c>
      <c r="F166" s="795"/>
      <c r="G166" s="795"/>
      <c r="H166" s="795"/>
      <c r="I166" s="795"/>
      <c r="J166" s="795"/>
      <c r="K166" s="795"/>
      <c r="L166" s="795"/>
      <c r="M166" s="795"/>
    </row>
    <row r="167" spans="1:13" x14ac:dyDescent="0.2">
      <c r="A167" s="795"/>
      <c r="B167" s="795"/>
      <c r="C167" s="795"/>
      <c r="D167" s="795"/>
      <c r="E167" s="795" t="s">
        <v>671</v>
      </c>
      <c r="F167" s="795"/>
      <c r="G167" s="795"/>
      <c r="H167" s="795"/>
      <c r="I167" s="795"/>
      <c r="J167" s="795"/>
      <c r="K167" s="795"/>
      <c r="L167" s="795"/>
      <c r="M167" s="795"/>
    </row>
    <row r="168" spans="1:13" x14ac:dyDescent="0.2">
      <c r="A168" s="795"/>
      <c r="B168" s="795"/>
      <c r="C168" s="795"/>
      <c r="D168" s="795"/>
      <c r="E168" s="795" t="s">
        <v>765</v>
      </c>
      <c r="F168" s="795"/>
      <c r="G168" s="795"/>
      <c r="H168" s="795"/>
      <c r="I168" s="795"/>
      <c r="J168" s="795"/>
      <c r="K168" s="795"/>
      <c r="L168" s="795"/>
      <c r="M168" s="795"/>
    </row>
    <row r="169" spans="1:13" x14ac:dyDescent="0.2">
      <c r="A169" s="795"/>
      <c r="B169" s="795"/>
      <c r="C169" s="795"/>
      <c r="D169" s="795"/>
      <c r="E169" s="795" t="s">
        <v>672</v>
      </c>
      <c r="F169" s="795"/>
      <c r="G169" s="795"/>
      <c r="H169" s="795"/>
      <c r="I169" s="795"/>
      <c r="J169" s="795"/>
      <c r="K169" s="795"/>
      <c r="L169" s="795"/>
      <c r="M169" s="795"/>
    </row>
    <row r="170" spans="1:13" x14ac:dyDescent="0.2">
      <c r="A170" s="795"/>
      <c r="B170" s="795"/>
      <c r="C170" s="795"/>
      <c r="D170" s="795"/>
      <c r="E170" s="795" t="s">
        <v>870</v>
      </c>
      <c r="F170" s="795"/>
      <c r="G170" s="795"/>
      <c r="H170" s="795"/>
      <c r="I170" s="795"/>
      <c r="J170" s="795"/>
      <c r="K170" s="795"/>
      <c r="L170" s="795"/>
      <c r="M170" s="795"/>
    </row>
    <row r="171" spans="1:13" x14ac:dyDescent="0.2">
      <c r="A171" s="795"/>
      <c r="B171" s="795"/>
      <c r="C171" s="795"/>
      <c r="D171" s="795"/>
      <c r="E171" s="795" t="s">
        <v>673</v>
      </c>
      <c r="F171" s="795"/>
      <c r="G171" s="795"/>
      <c r="H171" s="795"/>
      <c r="I171" s="795"/>
      <c r="J171" s="795"/>
      <c r="K171" s="795"/>
      <c r="L171" s="795"/>
      <c r="M171" s="795"/>
    </row>
    <row r="172" spans="1:13" x14ac:dyDescent="0.2">
      <c r="A172" s="795"/>
      <c r="B172" s="795"/>
      <c r="C172" s="795"/>
      <c r="D172" s="795"/>
      <c r="E172" s="795" t="s">
        <v>674</v>
      </c>
      <c r="F172" s="795"/>
      <c r="G172" s="795"/>
      <c r="H172" s="795"/>
      <c r="I172" s="795"/>
      <c r="J172" s="795"/>
      <c r="K172" s="795"/>
      <c r="L172" s="795"/>
      <c r="M172" s="795"/>
    </row>
    <row r="173" spans="1:13" x14ac:dyDescent="0.2">
      <c r="A173" s="795"/>
      <c r="B173" s="795"/>
      <c r="C173" s="795"/>
      <c r="D173" s="795"/>
      <c r="E173" s="795" t="s">
        <v>871</v>
      </c>
      <c r="F173" s="795"/>
      <c r="G173" s="795"/>
      <c r="H173" s="795"/>
      <c r="I173" s="795"/>
      <c r="J173" s="795"/>
      <c r="K173" s="795"/>
      <c r="L173" s="795"/>
      <c r="M173" s="795"/>
    </row>
    <row r="174" spans="1:13" x14ac:dyDescent="0.2">
      <c r="A174" s="795"/>
      <c r="B174" s="795"/>
      <c r="C174" s="795"/>
      <c r="D174" s="795"/>
      <c r="E174" s="795" t="s">
        <v>872</v>
      </c>
      <c r="F174" s="795"/>
      <c r="G174" s="795"/>
      <c r="H174" s="795"/>
      <c r="I174" s="795"/>
      <c r="J174" s="795"/>
      <c r="K174" s="795"/>
      <c r="L174" s="795"/>
      <c r="M174" s="795"/>
    </row>
    <row r="175" spans="1:13" x14ac:dyDescent="0.2">
      <c r="A175" s="795"/>
      <c r="B175" s="795"/>
      <c r="C175" s="795"/>
      <c r="D175" s="795"/>
      <c r="E175" s="795" t="s">
        <v>675</v>
      </c>
      <c r="F175" s="795"/>
      <c r="G175" s="795"/>
      <c r="H175" s="795"/>
      <c r="I175" s="795"/>
      <c r="J175" s="795"/>
      <c r="K175" s="795"/>
      <c r="L175" s="795"/>
      <c r="M175" s="795"/>
    </row>
    <row r="176" spans="1:13" x14ac:dyDescent="0.2">
      <c r="A176" s="795"/>
      <c r="B176" s="795"/>
      <c r="C176" s="795"/>
      <c r="D176" s="795"/>
      <c r="E176" s="795" t="s">
        <v>676</v>
      </c>
      <c r="F176" s="795"/>
      <c r="G176" s="795"/>
      <c r="H176" s="795"/>
      <c r="I176" s="795"/>
      <c r="J176" s="795"/>
      <c r="K176" s="795"/>
      <c r="L176" s="795"/>
      <c r="M176" s="795"/>
    </row>
    <row r="177" spans="1:13" x14ac:dyDescent="0.2">
      <c r="A177" s="795"/>
      <c r="B177" s="795"/>
      <c r="C177" s="795"/>
      <c r="D177" s="795"/>
      <c r="E177" s="795" t="s">
        <v>677</v>
      </c>
      <c r="F177" s="795"/>
      <c r="G177" s="795"/>
      <c r="H177" s="795"/>
      <c r="I177" s="795"/>
      <c r="J177" s="795"/>
      <c r="K177" s="795"/>
      <c r="L177" s="795"/>
      <c r="M177" s="795"/>
    </row>
    <row r="178" spans="1:13" x14ac:dyDescent="0.2">
      <c r="A178" s="795"/>
      <c r="B178" s="795"/>
      <c r="C178" s="795"/>
      <c r="D178" s="795"/>
      <c r="E178" s="795" t="s">
        <v>627</v>
      </c>
      <c r="F178" s="795"/>
      <c r="G178" s="795"/>
      <c r="H178" s="795"/>
      <c r="I178" s="795"/>
      <c r="J178" s="795"/>
      <c r="K178" s="795"/>
      <c r="L178" s="795"/>
      <c r="M178" s="795"/>
    </row>
    <row r="179" spans="1:13" x14ac:dyDescent="0.2">
      <c r="A179" s="795"/>
      <c r="B179" s="795"/>
      <c r="C179" s="795"/>
      <c r="D179" s="795"/>
      <c r="E179" s="795" t="s">
        <v>678</v>
      </c>
      <c r="F179" s="795"/>
      <c r="G179" s="795"/>
      <c r="H179" s="795"/>
      <c r="I179" s="795"/>
      <c r="J179" s="795"/>
      <c r="K179" s="795"/>
      <c r="L179" s="795"/>
      <c r="M179" s="795"/>
    </row>
    <row r="180" spans="1:13" x14ac:dyDescent="0.2">
      <c r="A180" s="795"/>
      <c r="B180" s="795"/>
      <c r="C180" s="795"/>
      <c r="D180" s="795"/>
      <c r="E180" s="795" t="s">
        <v>723</v>
      </c>
      <c r="F180" s="795"/>
      <c r="G180" s="795"/>
      <c r="H180" s="795"/>
      <c r="I180" s="795"/>
      <c r="J180" s="795"/>
      <c r="K180" s="795"/>
      <c r="L180" s="795"/>
      <c r="M180" s="795"/>
    </row>
    <row r="181" spans="1:13" x14ac:dyDescent="0.2">
      <c r="A181" s="795"/>
      <c r="B181" s="795"/>
      <c r="C181" s="795"/>
      <c r="D181" s="795"/>
      <c r="E181" s="795" t="s">
        <v>766</v>
      </c>
      <c r="F181" s="795"/>
      <c r="G181" s="795"/>
      <c r="H181" s="795"/>
      <c r="I181" s="795"/>
      <c r="J181" s="795"/>
      <c r="K181" s="795"/>
      <c r="L181" s="795"/>
      <c r="M181" s="795"/>
    </row>
    <row r="182" spans="1:13" x14ac:dyDescent="0.2">
      <c r="A182" s="795"/>
      <c r="B182" s="795"/>
      <c r="C182" s="795"/>
      <c r="D182" s="795"/>
      <c r="E182" s="795" t="s">
        <v>767</v>
      </c>
      <c r="F182" s="795"/>
      <c r="G182" s="795"/>
      <c r="H182" s="795"/>
      <c r="I182" s="795"/>
      <c r="J182" s="795"/>
      <c r="K182" s="795"/>
      <c r="L182" s="795"/>
      <c r="M182" s="795"/>
    </row>
    <row r="183" spans="1:13" x14ac:dyDescent="0.2">
      <c r="A183" s="795"/>
      <c r="B183" s="795"/>
      <c r="C183" s="795"/>
      <c r="D183" s="795"/>
      <c r="E183" s="795" t="s">
        <v>617</v>
      </c>
      <c r="F183" s="795"/>
      <c r="G183" s="795"/>
      <c r="H183" s="795"/>
      <c r="I183" s="795"/>
      <c r="J183" s="795"/>
      <c r="K183" s="795"/>
      <c r="L183" s="795"/>
      <c r="M183" s="795"/>
    </row>
    <row r="184" spans="1:13" x14ac:dyDescent="0.2">
      <c r="A184" s="795"/>
      <c r="B184" s="795"/>
      <c r="C184" s="795"/>
      <c r="D184" s="795"/>
      <c r="E184" s="795" t="s">
        <v>873</v>
      </c>
      <c r="F184" s="795"/>
      <c r="G184" s="795"/>
      <c r="H184" s="795"/>
      <c r="I184" s="795"/>
      <c r="J184" s="795"/>
      <c r="K184" s="795"/>
      <c r="L184" s="795"/>
      <c r="M184" s="795"/>
    </row>
    <row r="185" spans="1:13" x14ac:dyDescent="0.2">
      <c r="A185" s="795"/>
      <c r="B185" s="795"/>
      <c r="C185" s="795"/>
      <c r="D185" s="795"/>
      <c r="E185" s="795" t="s">
        <v>679</v>
      </c>
      <c r="F185" s="795"/>
      <c r="G185" s="795"/>
      <c r="H185" s="795"/>
      <c r="I185" s="795"/>
      <c r="J185" s="795"/>
      <c r="K185" s="795"/>
      <c r="L185" s="795"/>
      <c r="M185" s="795"/>
    </row>
    <row r="186" spans="1:13" x14ac:dyDescent="0.2">
      <c r="A186" s="795"/>
      <c r="B186" s="795"/>
      <c r="C186" s="795"/>
      <c r="D186" s="795"/>
      <c r="E186" s="795" t="s">
        <v>680</v>
      </c>
      <c r="F186" s="795"/>
      <c r="G186" s="795"/>
      <c r="H186" s="795"/>
      <c r="I186" s="795"/>
      <c r="J186" s="795"/>
      <c r="K186" s="795"/>
      <c r="L186" s="795"/>
      <c r="M186" s="795"/>
    </row>
    <row r="187" spans="1:13" x14ac:dyDescent="0.2">
      <c r="A187" s="795"/>
      <c r="B187" s="795"/>
      <c r="C187" s="795"/>
      <c r="D187" s="795"/>
      <c r="E187" s="795" t="s">
        <v>732</v>
      </c>
      <c r="F187" s="795"/>
      <c r="G187" s="795"/>
      <c r="H187" s="795"/>
      <c r="I187" s="795"/>
      <c r="J187" s="795"/>
      <c r="K187" s="795"/>
      <c r="L187" s="795"/>
      <c r="M187" s="795"/>
    </row>
    <row r="188" spans="1:13" x14ac:dyDescent="0.2">
      <c r="A188" s="795"/>
      <c r="B188" s="795"/>
      <c r="C188" s="795"/>
      <c r="D188" s="795"/>
      <c r="E188" s="795" t="s">
        <v>681</v>
      </c>
      <c r="F188" s="795"/>
      <c r="G188" s="795"/>
      <c r="H188" s="795"/>
      <c r="I188" s="795"/>
      <c r="J188" s="795"/>
      <c r="K188" s="795"/>
      <c r="L188" s="795"/>
      <c r="M188" s="795"/>
    </row>
    <row r="189" spans="1:13" x14ac:dyDescent="0.2">
      <c r="A189" s="795"/>
      <c r="B189" s="795"/>
      <c r="C189" s="795"/>
      <c r="D189" s="795"/>
      <c r="E189" s="795" t="s">
        <v>768</v>
      </c>
      <c r="F189" s="795"/>
      <c r="G189" s="795"/>
      <c r="H189" s="795"/>
      <c r="I189" s="795"/>
      <c r="J189" s="795"/>
      <c r="K189" s="795"/>
      <c r="L189" s="795"/>
      <c r="M189" s="795"/>
    </row>
    <row r="190" spans="1:13" x14ac:dyDescent="0.2">
      <c r="A190" s="795"/>
      <c r="B190" s="795"/>
      <c r="C190" s="795"/>
      <c r="D190" s="795"/>
      <c r="E190" s="795" t="s">
        <v>682</v>
      </c>
      <c r="F190" s="795"/>
      <c r="G190" s="795"/>
      <c r="H190" s="795"/>
      <c r="I190" s="795"/>
      <c r="J190" s="795"/>
      <c r="K190" s="795"/>
      <c r="L190" s="795"/>
      <c r="M190" s="795"/>
    </row>
    <row r="191" spans="1:13" x14ac:dyDescent="0.2">
      <c r="A191" s="795"/>
      <c r="B191" s="795"/>
      <c r="C191" s="795"/>
      <c r="D191" s="795"/>
      <c r="E191" s="795" t="s">
        <v>874</v>
      </c>
      <c r="F191" s="795"/>
      <c r="G191" s="795"/>
      <c r="H191" s="795"/>
      <c r="I191" s="795"/>
      <c r="J191" s="795"/>
      <c r="K191" s="795"/>
      <c r="L191" s="795"/>
      <c r="M191" s="795"/>
    </row>
    <row r="192" spans="1:13" x14ac:dyDescent="0.2">
      <c r="A192" s="795"/>
      <c r="B192" s="795"/>
      <c r="C192" s="795"/>
      <c r="D192" s="795"/>
      <c r="E192" s="795" t="s">
        <v>875</v>
      </c>
      <c r="F192" s="795"/>
      <c r="G192" s="795"/>
      <c r="H192" s="795"/>
      <c r="I192" s="795"/>
      <c r="J192" s="795"/>
      <c r="K192" s="795"/>
      <c r="L192" s="795"/>
      <c r="M192" s="795"/>
    </row>
    <row r="193" spans="1:13" x14ac:dyDescent="0.2">
      <c r="A193" s="795"/>
      <c r="B193" s="795"/>
      <c r="C193" s="795"/>
      <c r="D193" s="795"/>
      <c r="E193" s="795" t="s">
        <v>876</v>
      </c>
      <c r="F193" s="795"/>
      <c r="G193" s="795"/>
      <c r="H193" s="795"/>
      <c r="I193" s="795"/>
      <c r="J193" s="795"/>
      <c r="K193" s="795"/>
      <c r="L193" s="795"/>
      <c r="M193" s="795"/>
    </row>
    <row r="194" spans="1:13" x14ac:dyDescent="0.2">
      <c r="A194" s="795"/>
      <c r="B194" s="795"/>
      <c r="C194" s="795"/>
      <c r="D194" s="795"/>
      <c r="E194" s="795" t="s">
        <v>877</v>
      </c>
      <c r="F194" s="795"/>
      <c r="G194" s="795"/>
      <c r="H194" s="795"/>
      <c r="I194" s="795"/>
      <c r="J194" s="795"/>
      <c r="K194" s="795"/>
      <c r="L194" s="795"/>
      <c r="M194" s="795"/>
    </row>
    <row r="195" spans="1:13" x14ac:dyDescent="0.2">
      <c r="A195" s="795"/>
      <c r="B195" s="795"/>
      <c r="C195" s="795"/>
      <c r="D195" s="795"/>
      <c r="E195" s="795" t="s">
        <v>878</v>
      </c>
      <c r="F195" s="795"/>
      <c r="G195" s="795"/>
      <c r="H195" s="795"/>
      <c r="I195" s="795"/>
      <c r="J195" s="795"/>
      <c r="K195" s="795"/>
      <c r="L195" s="795"/>
      <c r="M195" s="795"/>
    </row>
    <row r="196" spans="1:13" x14ac:dyDescent="0.2">
      <c r="A196" s="795"/>
      <c r="B196" s="795"/>
      <c r="C196" s="795"/>
      <c r="D196" s="795"/>
      <c r="E196" s="795" t="s">
        <v>879</v>
      </c>
      <c r="F196" s="795"/>
      <c r="G196" s="795"/>
      <c r="H196" s="795"/>
      <c r="I196" s="795"/>
      <c r="J196" s="795"/>
      <c r="K196" s="795"/>
      <c r="L196" s="795"/>
      <c r="M196" s="795"/>
    </row>
    <row r="197" spans="1:13" x14ac:dyDescent="0.2">
      <c r="A197" s="795"/>
      <c r="B197" s="795"/>
      <c r="C197" s="795"/>
      <c r="D197" s="795"/>
      <c r="E197" s="795" t="s">
        <v>683</v>
      </c>
      <c r="F197" s="795"/>
      <c r="G197" s="795"/>
      <c r="H197" s="795"/>
      <c r="I197" s="795"/>
      <c r="J197" s="795"/>
      <c r="K197" s="795"/>
      <c r="L197" s="795"/>
      <c r="M197" s="795"/>
    </row>
    <row r="198" spans="1:13" x14ac:dyDescent="0.2">
      <c r="A198" s="795"/>
      <c r="B198" s="795"/>
      <c r="C198" s="795"/>
      <c r="D198" s="795"/>
      <c r="E198" s="795" t="s">
        <v>880</v>
      </c>
      <c r="F198" s="795"/>
      <c r="G198" s="795"/>
      <c r="H198" s="795"/>
      <c r="I198" s="795"/>
      <c r="J198" s="795"/>
      <c r="K198" s="795"/>
      <c r="L198" s="795"/>
      <c r="M198" s="795"/>
    </row>
    <row r="199" spans="1:13" x14ac:dyDescent="0.2">
      <c r="A199" s="795"/>
      <c r="B199" s="795"/>
      <c r="C199" s="795"/>
      <c r="D199" s="795"/>
      <c r="E199" s="795" t="s">
        <v>684</v>
      </c>
      <c r="F199" s="795"/>
      <c r="G199" s="795"/>
      <c r="H199" s="795"/>
      <c r="I199" s="795"/>
      <c r="J199" s="795"/>
      <c r="K199" s="795"/>
      <c r="L199" s="795"/>
      <c r="M199" s="795"/>
    </row>
    <row r="200" spans="1:13" x14ac:dyDescent="0.2">
      <c r="A200" s="795"/>
      <c r="B200" s="795"/>
      <c r="C200" s="795"/>
      <c r="D200" s="795"/>
      <c r="E200" s="795" t="s">
        <v>685</v>
      </c>
      <c r="F200" s="795"/>
      <c r="G200" s="795"/>
      <c r="H200" s="795"/>
      <c r="I200" s="795"/>
      <c r="J200" s="795"/>
      <c r="K200" s="795"/>
      <c r="L200" s="795"/>
      <c r="M200" s="795"/>
    </row>
    <row r="201" spans="1:13" x14ac:dyDescent="0.2">
      <c r="A201" s="795"/>
      <c r="B201" s="795"/>
      <c r="C201" s="795"/>
      <c r="D201" s="795"/>
      <c r="E201" s="795" t="s">
        <v>881</v>
      </c>
      <c r="F201" s="795"/>
      <c r="G201" s="795"/>
      <c r="H201" s="795"/>
      <c r="I201" s="795"/>
      <c r="J201" s="795"/>
      <c r="K201" s="795"/>
      <c r="L201" s="795"/>
      <c r="M201" s="795"/>
    </row>
    <row r="202" spans="1:13" x14ac:dyDescent="0.2">
      <c r="A202" s="795"/>
      <c r="B202" s="795"/>
      <c r="C202" s="795"/>
      <c r="D202" s="795"/>
      <c r="E202" s="795" t="s">
        <v>882</v>
      </c>
      <c r="F202" s="795"/>
      <c r="G202" s="795"/>
      <c r="H202" s="795"/>
      <c r="I202" s="795"/>
      <c r="J202" s="795"/>
      <c r="K202" s="795"/>
      <c r="L202" s="795"/>
      <c r="M202" s="795"/>
    </row>
    <row r="203" spans="1:13" x14ac:dyDescent="0.2">
      <c r="A203" s="795"/>
      <c r="B203" s="795"/>
      <c r="C203" s="795"/>
      <c r="D203" s="795"/>
      <c r="E203" s="795" t="s">
        <v>883</v>
      </c>
      <c r="F203" s="795"/>
      <c r="G203" s="795"/>
      <c r="H203" s="795"/>
      <c r="I203" s="795"/>
      <c r="J203" s="795"/>
      <c r="K203" s="795"/>
      <c r="L203" s="795"/>
      <c r="M203" s="795"/>
    </row>
    <row r="204" spans="1:13" x14ac:dyDescent="0.2">
      <c r="A204" s="795"/>
      <c r="B204" s="795"/>
      <c r="C204" s="795"/>
      <c r="D204" s="795"/>
      <c r="E204" s="795" t="s">
        <v>884</v>
      </c>
      <c r="F204" s="795"/>
      <c r="G204" s="795"/>
      <c r="H204" s="795"/>
      <c r="I204" s="795"/>
      <c r="J204" s="795"/>
      <c r="K204" s="795"/>
      <c r="L204" s="795"/>
      <c r="M204" s="795"/>
    </row>
    <row r="205" spans="1:13" x14ac:dyDescent="0.2">
      <c r="A205" s="795"/>
      <c r="B205" s="795"/>
      <c r="C205" s="795"/>
      <c r="D205" s="795"/>
      <c r="E205" s="795" t="s">
        <v>885</v>
      </c>
      <c r="F205" s="795"/>
      <c r="G205" s="795"/>
      <c r="H205" s="795"/>
      <c r="I205" s="795"/>
      <c r="J205" s="795"/>
      <c r="K205" s="795"/>
      <c r="L205" s="795"/>
      <c r="M205" s="795"/>
    </row>
    <row r="206" spans="1:13" x14ac:dyDescent="0.2">
      <c r="A206" s="795"/>
      <c r="B206" s="795"/>
      <c r="C206" s="795"/>
      <c r="D206" s="795"/>
      <c r="E206" s="795" t="s">
        <v>769</v>
      </c>
      <c r="F206" s="795"/>
      <c r="G206" s="795"/>
      <c r="H206" s="795"/>
      <c r="I206" s="795"/>
      <c r="J206" s="795"/>
      <c r="K206" s="795"/>
      <c r="L206" s="795"/>
      <c r="M206" s="795"/>
    </row>
    <row r="207" spans="1:13" x14ac:dyDescent="0.2">
      <c r="A207" s="795"/>
      <c r="B207" s="795"/>
      <c r="C207" s="795"/>
      <c r="D207" s="795"/>
      <c r="E207" s="795" t="s">
        <v>770</v>
      </c>
      <c r="F207" s="795"/>
      <c r="G207" s="795"/>
      <c r="H207" s="795"/>
      <c r="I207" s="795"/>
      <c r="J207" s="795"/>
      <c r="K207" s="795"/>
      <c r="L207" s="795"/>
      <c r="M207" s="795"/>
    </row>
    <row r="208" spans="1:13" x14ac:dyDescent="0.2">
      <c r="A208" s="795"/>
      <c r="B208" s="795"/>
      <c r="C208" s="795"/>
      <c r="D208" s="795"/>
      <c r="E208" s="795" t="s">
        <v>686</v>
      </c>
      <c r="F208" s="795"/>
      <c r="G208" s="795"/>
      <c r="H208" s="795"/>
      <c r="I208" s="795"/>
      <c r="J208" s="795"/>
      <c r="K208" s="795"/>
      <c r="L208" s="795"/>
      <c r="M208" s="795"/>
    </row>
    <row r="209" spans="1:13" x14ac:dyDescent="0.2">
      <c r="A209" s="795"/>
      <c r="B209" s="795"/>
      <c r="C209" s="795"/>
      <c r="D209" s="795"/>
      <c r="E209" s="795" t="s">
        <v>610</v>
      </c>
      <c r="F209" s="795"/>
      <c r="G209" s="795"/>
      <c r="H209" s="795"/>
      <c r="I209" s="795"/>
      <c r="J209" s="795"/>
      <c r="K209" s="795"/>
      <c r="L209" s="795"/>
      <c r="M209" s="795"/>
    </row>
    <row r="210" spans="1:13" x14ac:dyDescent="0.2">
      <c r="A210" s="795"/>
      <c r="B210" s="795"/>
      <c r="C210" s="795"/>
      <c r="D210" s="795"/>
      <c r="E210" s="795" t="s">
        <v>886</v>
      </c>
      <c r="F210" s="795"/>
      <c r="G210" s="795"/>
      <c r="H210" s="795"/>
      <c r="I210" s="795"/>
      <c r="J210" s="795"/>
      <c r="K210" s="795"/>
      <c r="L210" s="795"/>
      <c r="M210" s="795"/>
    </row>
    <row r="211" spans="1:13" x14ac:dyDescent="0.2">
      <c r="A211" s="795"/>
      <c r="B211" s="795"/>
      <c r="C211" s="795"/>
      <c r="D211" s="795"/>
      <c r="E211" s="795" t="s">
        <v>630</v>
      </c>
      <c r="F211" s="795"/>
      <c r="G211" s="795"/>
      <c r="H211" s="795"/>
      <c r="I211" s="795"/>
      <c r="J211" s="795"/>
      <c r="K211" s="795"/>
      <c r="L211" s="795"/>
      <c r="M211" s="795"/>
    </row>
    <row r="212" spans="1:13" x14ac:dyDescent="0.2">
      <c r="A212" s="795"/>
      <c r="B212" s="795"/>
      <c r="C212" s="795"/>
      <c r="D212" s="795"/>
      <c r="E212" s="795" t="s">
        <v>771</v>
      </c>
      <c r="F212" s="795"/>
      <c r="G212" s="795"/>
      <c r="H212" s="795"/>
      <c r="I212" s="795"/>
      <c r="J212" s="795"/>
      <c r="K212" s="795"/>
      <c r="L212" s="795"/>
      <c r="M212" s="795"/>
    </row>
    <row r="213" spans="1:13" x14ac:dyDescent="0.2">
      <c r="A213" s="795"/>
      <c r="B213" s="795"/>
      <c r="C213" s="795"/>
      <c r="D213" s="795"/>
      <c r="E213" s="795" t="s">
        <v>887</v>
      </c>
      <c r="F213" s="795"/>
      <c r="G213" s="795"/>
      <c r="H213" s="795"/>
      <c r="I213" s="795"/>
      <c r="J213" s="795"/>
      <c r="K213" s="795"/>
      <c r="L213" s="795"/>
      <c r="M213" s="795"/>
    </row>
    <row r="214" spans="1:13" x14ac:dyDescent="0.2">
      <c r="A214" s="795"/>
      <c r="B214" s="795"/>
      <c r="C214" s="795"/>
      <c r="D214" s="795"/>
      <c r="E214" s="795" t="s">
        <v>687</v>
      </c>
      <c r="F214" s="795"/>
      <c r="G214" s="795"/>
      <c r="H214" s="795"/>
      <c r="I214" s="795"/>
      <c r="J214" s="795"/>
      <c r="K214" s="795"/>
      <c r="L214" s="795"/>
      <c r="M214" s="795"/>
    </row>
    <row r="215" spans="1:13" x14ac:dyDescent="0.2">
      <c r="A215" s="795"/>
      <c r="B215" s="795"/>
      <c r="C215" s="795"/>
      <c r="D215" s="795"/>
      <c r="E215" s="795" t="s">
        <v>888</v>
      </c>
      <c r="F215" s="795"/>
      <c r="G215" s="795"/>
      <c r="H215" s="795"/>
      <c r="I215" s="795"/>
      <c r="J215" s="795"/>
      <c r="K215" s="795"/>
      <c r="L215" s="795"/>
      <c r="M215" s="795"/>
    </row>
    <row r="216" spans="1:13" x14ac:dyDescent="0.2">
      <c r="A216" s="795"/>
      <c r="B216" s="795"/>
      <c r="C216" s="795"/>
      <c r="D216" s="795"/>
      <c r="E216" s="795" t="s">
        <v>772</v>
      </c>
      <c r="F216" s="795"/>
      <c r="G216" s="795"/>
      <c r="H216" s="795"/>
      <c r="I216" s="795"/>
      <c r="J216" s="795"/>
      <c r="K216" s="795"/>
      <c r="L216" s="795"/>
      <c r="M216" s="795"/>
    </row>
    <row r="217" spans="1:13" x14ac:dyDescent="0.2">
      <c r="A217" s="795"/>
      <c r="B217" s="795"/>
      <c r="C217" s="795"/>
      <c r="D217" s="795"/>
      <c r="E217" s="795" t="s">
        <v>773</v>
      </c>
      <c r="F217" s="795"/>
      <c r="G217" s="795"/>
      <c r="H217" s="795"/>
      <c r="I217" s="795"/>
      <c r="J217" s="795"/>
      <c r="K217" s="795"/>
      <c r="L217" s="795"/>
      <c r="M217" s="795"/>
    </row>
    <row r="218" spans="1:13" x14ac:dyDescent="0.2">
      <c r="A218" s="795"/>
      <c r="B218" s="795"/>
      <c r="C218" s="795"/>
      <c r="D218" s="795"/>
      <c r="E218" s="795" t="s">
        <v>889</v>
      </c>
      <c r="F218" s="795"/>
      <c r="G218" s="795"/>
      <c r="H218" s="795"/>
      <c r="I218" s="795"/>
      <c r="J218" s="795"/>
      <c r="K218" s="795"/>
      <c r="L218" s="795"/>
      <c r="M218" s="795"/>
    </row>
    <row r="219" spans="1:13" x14ac:dyDescent="0.2">
      <c r="A219" s="795"/>
      <c r="B219" s="795"/>
      <c r="C219" s="795"/>
      <c r="D219" s="795"/>
      <c r="E219" s="795" t="s">
        <v>774</v>
      </c>
      <c r="F219" s="795"/>
      <c r="G219" s="795"/>
      <c r="H219" s="795"/>
      <c r="I219" s="795"/>
      <c r="J219" s="795"/>
      <c r="K219" s="795"/>
      <c r="L219" s="795"/>
      <c r="M219" s="795"/>
    </row>
    <row r="220" spans="1:13" x14ac:dyDescent="0.2">
      <c r="A220" s="795"/>
      <c r="B220" s="795"/>
      <c r="C220" s="795"/>
      <c r="D220" s="795"/>
      <c r="E220" s="795" t="s">
        <v>688</v>
      </c>
      <c r="F220" s="795"/>
      <c r="G220" s="795"/>
      <c r="H220" s="795"/>
      <c r="I220" s="795"/>
      <c r="J220" s="795"/>
      <c r="K220" s="795"/>
      <c r="L220" s="795"/>
      <c r="M220" s="795"/>
    </row>
    <row r="221" spans="1:13" x14ac:dyDescent="0.2">
      <c r="A221" s="795"/>
      <c r="B221" s="795"/>
      <c r="C221" s="795"/>
      <c r="D221" s="795"/>
      <c r="E221" s="795" t="s">
        <v>689</v>
      </c>
      <c r="F221" s="795"/>
      <c r="G221" s="795"/>
      <c r="H221" s="795"/>
      <c r="I221" s="795"/>
      <c r="J221" s="795"/>
      <c r="K221" s="795"/>
      <c r="L221" s="795"/>
      <c r="M221" s="795"/>
    </row>
    <row r="222" spans="1:13" x14ac:dyDescent="0.2">
      <c r="A222" s="795"/>
      <c r="B222" s="795"/>
      <c r="C222" s="795"/>
      <c r="D222" s="795"/>
      <c r="E222" s="795" t="s">
        <v>890</v>
      </c>
      <c r="F222" s="795"/>
      <c r="G222" s="795"/>
      <c r="H222" s="795"/>
      <c r="I222" s="795"/>
      <c r="J222" s="795"/>
      <c r="K222" s="795"/>
      <c r="L222" s="795"/>
      <c r="M222" s="795"/>
    </row>
    <row r="223" spans="1:13" x14ac:dyDescent="0.2">
      <c r="A223" s="795"/>
      <c r="B223" s="795"/>
      <c r="C223" s="795"/>
      <c r="D223" s="795"/>
      <c r="E223" s="795" t="s">
        <v>891</v>
      </c>
      <c r="F223" s="795"/>
      <c r="G223" s="795"/>
      <c r="H223" s="795"/>
      <c r="I223" s="795"/>
      <c r="J223" s="795"/>
      <c r="K223" s="795"/>
      <c r="L223" s="795"/>
      <c r="M223" s="795"/>
    </row>
    <row r="224" spans="1:13" x14ac:dyDescent="0.2">
      <c r="A224" s="795"/>
      <c r="B224" s="795"/>
      <c r="C224" s="795"/>
      <c r="D224" s="795"/>
      <c r="E224" s="795" t="s">
        <v>892</v>
      </c>
      <c r="F224" s="795"/>
      <c r="G224" s="795"/>
      <c r="H224" s="795"/>
      <c r="I224" s="795"/>
      <c r="J224" s="795"/>
      <c r="K224" s="795"/>
      <c r="L224" s="795"/>
      <c r="M224" s="795"/>
    </row>
    <row r="225" spans="1:13" x14ac:dyDescent="0.2">
      <c r="A225" s="795"/>
      <c r="B225" s="795"/>
      <c r="C225" s="795"/>
      <c r="D225" s="795"/>
      <c r="E225" s="795" t="s">
        <v>893</v>
      </c>
      <c r="F225" s="795"/>
      <c r="G225" s="795"/>
      <c r="H225" s="795"/>
      <c r="I225" s="795"/>
      <c r="J225" s="795"/>
      <c r="K225" s="795"/>
      <c r="L225" s="795"/>
      <c r="M225" s="795"/>
    </row>
    <row r="226" spans="1:13" x14ac:dyDescent="0.2">
      <c r="A226" s="795"/>
      <c r="B226" s="795"/>
      <c r="C226" s="795"/>
      <c r="D226" s="795"/>
      <c r="E226" s="795" t="s">
        <v>894</v>
      </c>
      <c r="F226" s="795"/>
      <c r="G226" s="795"/>
      <c r="H226" s="795"/>
      <c r="I226" s="795"/>
      <c r="J226" s="795"/>
      <c r="K226" s="795"/>
      <c r="L226" s="795"/>
      <c r="M226" s="795"/>
    </row>
    <row r="227" spans="1:13" x14ac:dyDescent="0.2">
      <c r="A227" s="795"/>
      <c r="B227" s="795"/>
      <c r="C227" s="795"/>
      <c r="D227" s="795"/>
      <c r="E227" s="795" t="s">
        <v>895</v>
      </c>
      <c r="F227" s="795"/>
      <c r="G227" s="795"/>
      <c r="H227" s="795"/>
      <c r="I227" s="795"/>
      <c r="J227" s="795"/>
      <c r="K227" s="795"/>
      <c r="L227" s="795"/>
      <c r="M227" s="795"/>
    </row>
    <row r="228" spans="1:13" x14ac:dyDescent="0.2">
      <c r="A228" s="795"/>
      <c r="B228" s="795"/>
      <c r="C228" s="795"/>
      <c r="D228" s="795"/>
      <c r="E228" s="795" t="s">
        <v>896</v>
      </c>
      <c r="F228" s="795"/>
      <c r="G228" s="795"/>
      <c r="H228" s="795"/>
      <c r="I228" s="795"/>
      <c r="J228" s="795"/>
      <c r="K228" s="795"/>
      <c r="L228" s="795"/>
      <c r="M228" s="795"/>
    </row>
    <row r="229" spans="1:13" x14ac:dyDescent="0.2">
      <c r="A229" s="795"/>
      <c r="B229" s="795"/>
      <c r="C229" s="795"/>
      <c r="D229" s="795"/>
      <c r="E229" s="795" t="s">
        <v>897</v>
      </c>
      <c r="F229" s="795"/>
      <c r="G229" s="795"/>
      <c r="H229" s="795"/>
      <c r="I229" s="795"/>
      <c r="J229" s="795"/>
      <c r="K229" s="795"/>
      <c r="L229" s="795"/>
      <c r="M229" s="795"/>
    </row>
    <row r="230" spans="1:13" x14ac:dyDescent="0.2">
      <c r="A230" s="795"/>
      <c r="B230" s="795"/>
      <c r="C230" s="795"/>
      <c r="D230" s="795"/>
      <c r="E230" s="795" t="s">
        <v>620</v>
      </c>
      <c r="F230" s="795"/>
      <c r="G230" s="795"/>
      <c r="H230" s="795"/>
      <c r="I230" s="795"/>
      <c r="J230" s="795"/>
      <c r="K230" s="795"/>
      <c r="L230" s="795"/>
      <c r="M230" s="795"/>
    </row>
    <row r="231" spans="1:13" x14ac:dyDescent="0.2">
      <c r="A231" s="795"/>
      <c r="B231" s="795"/>
      <c r="C231" s="795"/>
      <c r="D231" s="795"/>
      <c r="E231" s="795" t="s">
        <v>898</v>
      </c>
      <c r="F231" s="795"/>
      <c r="G231" s="795"/>
      <c r="H231" s="795"/>
      <c r="I231" s="795"/>
      <c r="J231" s="795"/>
      <c r="K231" s="795"/>
      <c r="L231" s="795"/>
      <c r="M231" s="795"/>
    </row>
    <row r="232" spans="1:13" x14ac:dyDescent="0.2">
      <c r="A232" s="795"/>
      <c r="B232" s="795"/>
      <c r="C232" s="795"/>
      <c r="D232" s="795"/>
      <c r="E232" s="795" t="s">
        <v>690</v>
      </c>
      <c r="F232" s="795"/>
      <c r="G232" s="795"/>
      <c r="H232" s="795"/>
      <c r="I232" s="795"/>
      <c r="J232" s="795"/>
      <c r="K232" s="795"/>
      <c r="L232" s="795"/>
      <c r="M232" s="795"/>
    </row>
    <row r="233" spans="1:13" x14ac:dyDescent="0.2">
      <c r="A233" s="795"/>
      <c r="B233" s="795"/>
      <c r="C233" s="795"/>
      <c r="D233" s="795"/>
      <c r="E233" s="795" t="s">
        <v>775</v>
      </c>
      <c r="F233" s="795"/>
      <c r="G233" s="795"/>
      <c r="H233" s="795"/>
      <c r="I233" s="795"/>
      <c r="J233" s="795"/>
      <c r="K233" s="795"/>
      <c r="L233" s="795"/>
      <c r="M233" s="795"/>
    </row>
    <row r="234" spans="1:13" x14ac:dyDescent="0.2">
      <c r="A234" s="795"/>
      <c r="B234" s="795"/>
      <c r="C234" s="795"/>
      <c r="D234" s="795"/>
      <c r="E234" s="795" t="s">
        <v>899</v>
      </c>
      <c r="F234" s="795"/>
      <c r="G234" s="795"/>
      <c r="H234" s="795"/>
      <c r="I234" s="795"/>
      <c r="J234" s="795"/>
      <c r="K234" s="795"/>
      <c r="L234" s="795"/>
      <c r="M234" s="795"/>
    </row>
    <row r="235" spans="1:13" x14ac:dyDescent="0.2">
      <c r="A235" s="795"/>
      <c r="B235" s="795"/>
      <c r="C235" s="795"/>
      <c r="D235" s="795"/>
      <c r="E235" s="795" t="s">
        <v>900</v>
      </c>
      <c r="F235" s="795"/>
      <c r="G235" s="795"/>
      <c r="H235" s="795"/>
      <c r="I235" s="795"/>
      <c r="J235" s="795"/>
      <c r="K235" s="795"/>
      <c r="L235" s="795"/>
      <c r="M235" s="795"/>
    </row>
    <row r="236" spans="1:13" x14ac:dyDescent="0.2">
      <c r="A236" s="795"/>
      <c r="B236" s="795"/>
      <c r="C236" s="795"/>
      <c r="D236" s="795"/>
      <c r="E236" s="795" t="s">
        <v>901</v>
      </c>
      <c r="F236" s="795"/>
      <c r="G236" s="795"/>
      <c r="H236" s="795"/>
      <c r="I236" s="795"/>
      <c r="J236" s="795"/>
      <c r="K236" s="795"/>
      <c r="L236" s="795"/>
      <c r="M236" s="795"/>
    </row>
    <row r="237" spans="1:13" x14ac:dyDescent="0.2">
      <c r="A237" s="795"/>
      <c r="B237" s="795"/>
      <c r="C237" s="795"/>
      <c r="D237" s="795"/>
      <c r="E237" s="795" t="s">
        <v>733</v>
      </c>
      <c r="F237" s="795"/>
      <c r="G237" s="795"/>
      <c r="H237" s="795"/>
      <c r="I237" s="795"/>
      <c r="J237" s="795"/>
      <c r="K237" s="795"/>
      <c r="L237" s="795"/>
      <c r="M237" s="795"/>
    </row>
    <row r="238" spans="1:13" x14ac:dyDescent="0.2">
      <c r="A238" s="795"/>
      <c r="B238" s="795"/>
      <c r="C238" s="795"/>
      <c r="D238" s="795"/>
      <c r="E238" s="795" t="s">
        <v>902</v>
      </c>
      <c r="F238" s="795"/>
      <c r="G238" s="795"/>
      <c r="H238" s="795"/>
      <c r="I238" s="795"/>
      <c r="J238" s="795"/>
      <c r="K238" s="795"/>
      <c r="L238" s="795"/>
      <c r="M238" s="795"/>
    </row>
    <row r="239" spans="1:13" x14ac:dyDescent="0.2">
      <c r="A239" s="795"/>
      <c r="B239" s="795"/>
      <c r="C239" s="795"/>
      <c r="D239" s="795"/>
      <c r="E239" s="795" t="s">
        <v>633</v>
      </c>
      <c r="F239" s="795"/>
      <c r="G239" s="795"/>
      <c r="H239" s="795"/>
      <c r="I239" s="795"/>
      <c r="J239" s="795"/>
      <c r="K239" s="795"/>
      <c r="L239" s="795"/>
      <c r="M239" s="795"/>
    </row>
    <row r="240" spans="1:13" x14ac:dyDescent="0.2">
      <c r="A240" s="795"/>
      <c r="B240" s="795"/>
      <c r="C240" s="795"/>
      <c r="D240" s="795"/>
      <c r="E240" s="795" t="s">
        <v>632</v>
      </c>
      <c r="F240" s="795"/>
      <c r="G240" s="795"/>
      <c r="H240" s="795"/>
      <c r="I240" s="795"/>
      <c r="J240" s="795"/>
      <c r="K240" s="795"/>
      <c r="L240" s="795"/>
      <c r="M240" s="795"/>
    </row>
    <row r="241" spans="1:13" x14ac:dyDescent="0.2">
      <c r="A241" s="795"/>
      <c r="B241" s="795"/>
      <c r="C241" s="795"/>
      <c r="D241" s="795"/>
      <c r="E241" s="795" t="s">
        <v>776</v>
      </c>
      <c r="F241" s="795"/>
      <c r="G241" s="795"/>
      <c r="H241" s="795"/>
      <c r="I241" s="795"/>
      <c r="J241" s="795"/>
      <c r="K241" s="795"/>
      <c r="L241" s="795"/>
      <c r="M241" s="795"/>
    </row>
    <row r="242" spans="1:13" x14ac:dyDescent="0.2">
      <c r="A242" s="795"/>
      <c r="B242" s="795"/>
      <c r="C242" s="795"/>
      <c r="D242" s="795"/>
      <c r="E242" s="795" t="s">
        <v>903</v>
      </c>
      <c r="F242" s="795"/>
      <c r="G242" s="795"/>
      <c r="H242" s="795"/>
      <c r="I242" s="795"/>
      <c r="J242" s="795"/>
      <c r="K242" s="795"/>
      <c r="L242" s="795"/>
      <c r="M242" s="795"/>
    </row>
    <row r="243" spans="1:13" x14ac:dyDescent="0.2">
      <c r="A243" s="795"/>
      <c r="B243" s="795"/>
      <c r="C243" s="795"/>
      <c r="D243" s="795"/>
      <c r="E243" s="795" t="s">
        <v>904</v>
      </c>
      <c r="F243" s="795"/>
      <c r="G243" s="795"/>
      <c r="H243" s="795"/>
      <c r="I243" s="795"/>
      <c r="J243" s="795"/>
      <c r="K243" s="795"/>
      <c r="L243" s="795"/>
      <c r="M243" s="795"/>
    </row>
    <row r="244" spans="1:13" x14ac:dyDescent="0.2">
      <c r="A244" s="795"/>
      <c r="B244" s="795"/>
      <c r="C244" s="795"/>
      <c r="D244" s="795"/>
      <c r="E244" s="795" t="s">
        <v>691</v>
      </c>
      <c r="F244" s="795"/>
      <c r="G244" s="795"/>
      <c r="H244" s="795"/>
      <c r="I244" s="795"/>
      <c r="J244" s="795"/>
      <c r="K244" s="795"/>
      <c r="L244" s="795"/>
      <c r="M244" s="795"/>
    </row>
    <row r="245" spans="1:13" x14ac:dyDescent="0.2">
      <c r="A245" s="795"/>
      <c r="B245" s="795"/>
      <c r="C245" s="795"/>
      <c r="D245" s="795"/>
      <c r="E245" s="795" t="s">
        <v>692</v>
      </c>
      <c r="F245" s="795"/>
      <c r="G245" s="795"/>
      <c r="H245" s="795"/>
      <c r="I245" s="795"/>
      <c r="J245" s="795"/>
      <c r="K245" s="795"/>
      <c r="L245" s="795"/>
      <c r="M245" s="795"/>
    </row>
    <row r="246" spans="1:13" x14ac:dyDescent="0.2">
      <c r="A246" s="795"/>
      <c r="B246" s="795"/>
      <c r="C246" s="795"/>
      <c r="D246" s="795"/>
      <c r="E246" s="795" t="s">
        <v>777</v>
      </c>
      <c r="F246" s="795"/>
      <c r="G246" s="795"/>
      <c r="H246" s="795"/>
      <c r="I246" s="795"/>
      <c r="J246" s="795"/>
      <c r="K246" s="795"/>
      <c r="L246" s="795"/>
      <c r="M246" s="795"/>
    </row>
    <row r="247" spans="1:13" x14ac:dyDescent="0.2">
      <c r="A247" s="795"/>
      <c r="B247" s="795"/>
      <c r="C247" s="795"/>
      <c r="D247" s="795"/>
      <c r="E247" s="795" t="s">
        <v>693</v>
      </c>
      <c r="F247" s="795"/>
      <c r="G247" s="795"/>
      <c r="H247" s="795"/>
      <c r="I247" s="795"/>
      <c r="J247" s="795"/>
      <c r="K247" s="795"/>
      <c r="L247" s="795"/>
      <c r="M247" s="795"/>
    </row>
    <row r="248" spans="1:13" x14ac:dyDescent="0.2">
      <c r="A248" s="795"/>
      <c r="B248" s="795"/>
      <c r="C248" s="795"/>
      <c r="D248" s="795"/>
      <c r="E248" s="795" t="s">
        <v>905</v>
      </c>
      <c r="F248" s="795"/>
      <c r="G248" s="795"/>
      <c r="H248" s="795"/>
      <c r="I248" s="795"/>
      <c r="J248" s="795"/>
      <c r="K248" s="795"/>
      <c r="L248" s="795"/>
      <c r="M248" s="795"/>
    </row>
    <row r="249" spans="1:13" x14ac:dyDescent="0.2">
      <c r="A249" s="795"/>
      <c r="B249" s="795"/>
      <c r="C249" s="795"/>
      <c r="D249" s="795"/>
      <c r="E249" s="795" t="s">
        <v>694</v>
      </c>
      <c r="F249" s="795"/>
      <c r="G249" s="795"/>
      <c r="H249" s="795"/>
      <c r="I249" s="795"/>
      <c r="J249" s="795"/>
      <c r="K249" s="795"/>
      <c r="L249" s="795"/>
      <c r="M249" s="795"/>
    </row>
    <row r="250" spans="1:13" x14ac:dyDescent="0.2">
      <c r="A250" s="795"/>
      <c r="B250" s="795"/>
      <c r="C250" s="795"/>
      <c r="D250" s="795"/>
      <c r="E250" s="795" t="s">
        <v>906</v>
      </c>
      <c r="F250" s="795"/>
      <c r="G250" s="795"/>
      <c r="H250" s="795"/>
      <c r="I250" s="795"/>
      <c r="J250" s="795"/>
      <c r="K250" s="795"/>
      <c r="L250" s="795"/>
      <c r="M250" s="795"/>
    </row>
    <row r="251" spans="1:13" x14ac:dyDescent="0.2">
      <c r="A251" s="795"/>
      <c r="B251" s="795"/>
      <c r="C251" s="795"/>
      <c r="D251" s="795"/>
      <c r="E251" s="795" t="s">
        <v>628</v>
      </c>
      <c r="F251" s="795"/>
      <c r="G251" s="795"/>
      <c r="H251" s="795"/>
      <c r="I251" s="795"/>
      <c r="J251" s="795"/>
      <c r="K251" s="795"/>
      <c r="L251" s="795"/>
      <c r="M251" s="795"/>
    </row>
    <row r="252" spans="1:13" x14ac:dyDescent="0.2">
      <c r="A252" s="795"/>
      <c r="B252" s="795"/>
      <c r="C252" s="795"/>
      <c r="D252" s="795"/>
      <c r="E252" s="795" t="s">
        <v>695</v>
      </c>
      <c r="F252" s="795"/>
      <c r="G252" s="795"/>
      <c r="H252" s="795"/>
      <c r="I252" s="795"/>
      <c r="J252" s="795"/>
      <c r="K252" s="795"/>
      <c r="L252" s="795"/>
      <c r="M252" s="795"/>
    </row>
    <row r="253" spans="1:13" x14ac:dyDescent="0.2">
      <c r="A253" s="795"/>
      <c r="B253" s="795"/>
      <c r="C253" s="795"/>
      <c r="D253" s="795"/>
      <c r="E253" s="795" t="s">
        <v>696</v>
      </c>
      <c r="F253" s="795"/>
      <c r="G253" s="795"/>
      <c r="H253" s="795"/>
      <c r="I253" s="795"/>
      <c r="J253" s="795"/>
      <c r="K253" s="795"/>
      <c r="L253" s="795"/>
      <c r="M253" s="795"/>
    </row>
    <row r="254" spans="1:13" x14ac:dyDescent="0.2">
      <c r="A254" s="795"/>
      <c r="B254" s="795"/>
      <c r="C254" s="795"/>
      <c r="D254" s="795"/>
      <c r="E254" s="795" t="s">
        <v>907</v>
      </c>
      <c r="F254" s="795"/>
      <c r="G254" s="795"/>
      <c r="H254" s="795"/>
      <c r="I254" s="795"/>
      <c r="J254" s="795"/>
      <c r="K254" s="795"/>
      <c r="L254" s="795"/>
      <c r="M254" s="795"/>
    </row>
    <row r="255" spans="1:13" x14ac:dyDescent="0.2">
      <c r="A255" s="795"/>
      <c r="B255" s="795"/>
      <c r="C255" s="795"/>
      <c r="D255" s="795"/>
      <c r="E255" s="795" t="s">
        <v>778</v>
      </c>
      <c r="F255" s="795"/>
      <c r="G255" s="795"/>
      <c r="H255" s="795"/>
      <c r="I255" s="795"/>
      <c r="J255" s="795"/>
      <c r="K255" s="795"/>
      <c r="L255" s="795"/>
      <c r="M255" s="795"/>
    </row>
    <row r="256" spans="1:13" x14ac:dyDescent="0.2">
      <c r="A256" s="795"/>
      <c r="B256" s="795"/>
      <c r="C256" s="795"/>
      <c r="D256" s="795"/>
      <c r="E256" s="795" t="s">
        <v>908</v>
      </c>
      <c r="F256" s="795"/>
      <c r="G256" s="795"/>
      <c r="H256" s="795"/>
      <c r="I256" s="795"/>
      <c r="J256" s="795"/>
      <c r="K256" s="795"/>
      <c r="L256" s="795"/>
      <c r="M256" s="795"/>
    </row>
    <row r="257" spans="1:13" x14ac:dyDescent="0.2">
      <c r="A257" s="795"/>
      <c r="B257" s="795"/>
      <c r="C257" s="795"/>
      <c r="D257" s="795"/>
      <c r="E257" s="795" t="s">
        <v>909</v>
      </c>
      <c r="F257" s="795"/>
      <c r="G257" s="795"/>
      <c r="H257" s="795"/>
      <c r="I257" s="795"/>
      <c r="J257" s="795"/>
      <c r="K257" s="795"/>
      <c r="L257" s="795"/>
      <c r="M257" s="795"/>
    </row>
    <row r="258" spans="1:13" x14ac:dyDescent="0.2">
      <c r="A258" s="795"/>
      <c r="B258" s="795"/>
      <c r="C258" s="795"/>
      <c r="D258" s="795"/>
      <c r="E258" s="795" t="s">
        <v>910</v>
      </c>
      <c r="F258" s="795"/>
      <c r="G258" s="795"/>
      <c r="H258" s="795"/>
      <c r="I258" s="795"/>
      <c r="J258" s="795"/>
      <c r="K258" s="795"/>
      <c r="L258" s="795"/>
      <c r="M258" s="795"/>
    </row>
    <row r="259" spans="1:13" x14ac:dyDescent="0.2">
      <c r="A259" s="795"/>
      <c r="B259" s="795"/>
      <c r="C259" s="795"/>
      <c r="D259" s="795"/>
      <c r="E259" s="795" t="s">
        <v>697</v>
      </c>
      <c r="F259" s="795"/>
      <c r="G259" s="795"/>
      <c r="H259" s="795"/>
      <c r="I259" s="795"/>
      <c r="J259" s="795"/>
      <c r="K259" s="795"/>
      <c r="L259" s="795"/>
      <c r="M259" s="795"/>
    </row>
    <row r="260" spans="1:13" x14ac:dyDescent="0.2">
      <c r="A260" s="795"/>
      <c r="B260" s="795"/>
      <c r="C260" s="795"/>
      <c r="D260" s="795"/>
      <c r="E260" s="795" t="s">
        <v>779</v>
      </c>
      <c r="F260" s="795"/>
      <c r="G260" s="795"/>
      <c r="H260" s="795"/>
      <c r="I260" s="795"/>
      <c r="J260" s="795"/>
      <c r="K260" s="795"/>
      <c r="L260" s="795"/>
      <c r="M260" s="795"/>
    </row>
    <row r="261" spans="1:13" x14ac:dyDescent="0.2">
      <c r="A261" s="795"/>
      <c r="B261" s="795"/>
      <c r="C261" s="795"/>
      <c r="D261" s="795"/>
      <c r="E261" s="795" t="s">
        <v>911</v>
      </c>
      <c r="F261" s="795"/>
      <c r="G261" s="795"/>
      <c r="H261" s="795"/>
      <c r="I261" s="795"/>
      <c r="J261" s="795"/>
      <c r="K261" s="795"/>
      <c r="L261" s="795"/>
      <c r="M261" s="795"/>
    </row>
    <row r="262" spans="1:13" x14ac:dyDescent="0.2">
      <c r="A262" s="795"/>
      <c r="B262" s="795"/>
      <c r="C262" s="795"/>
      <c r="D262" s="795"/>
      <c r="E262" s="795" t="s">
        <v>734</v>
      </c>
      <c r="F262" s="795"/>
      <c r="G262" s="795"/>
      <c r="H262" s="795"/>
      <c r="I262" s="795"/>
      <c r="J262" s="795"/>
      <c r="K262" s="795"/>
      <c r="L262" s="795"/>
      <c r="M262" s="795"/>
    </row>
    <row r="263" spans="1:13" x14ac:dyDescent="0.2">
      <c r="A263" s="795"/>
      <c r="B263" s="795"/>
      <c r="C263" s="795"/>
      <c r="D263" s="795"/>
      <c r="E263" s="795" t="s">
        <v>61</v>
      </c>
      <c r="F263" s="795"/>
      <c r="G263" s="795"/>
      <c r="H263" s="795"/>
      <c r="I263" s="795"/>
      <c r="J263" s="795"/>
      <c r="K263" s="795"/>
      <c r="L263" s="795"/>
      <c r="M263" s="795"/>
    </row>
    <row r="264" spans="1:13" x14ac:dyDescent="0.2">
      <c r="A264" s="795"/>
      <c r="B264" s="795"/>
      <c r="C264" s="795"/>
      <c r="D264" s="795"/>
      <c r="E264" s="795" t="s">
        <v>912</v>
      </c>
      <c r="F264" s="795"/>
      <c r="G264" s="795"/>
      <c r="H264" s="795"/>
      <c r="I264" s="795"/>
      <c r="J264" s="795"/>
      <c r="K264" s="795"/>
      <c r="L264" s="795"/>
      <c r="M264" s="795"/>
    </row>
    <row r="265" spans="1:13" x14ac:dyDescent="0.2">
      <c r="A265" s="795"/>
      <c r="B265" s="795"/>
      <c r="C265" s="795"/>
      <c r="D265" s="795"/>
      <c r="E265" s="795" t="s">
        <v>698</v>
      </c>
      <c r="F265" s="795"/>
      <c r="G265" s="795"/>
      <c r="H265" s="795"/>
      <c r="I265" s="795"/>
      <c r="J265" s="795"/>
      <c r="K265" s="795"/>
      <c r="L265" s="795"/>
      <c r="M265" s="795"/>
    </row>
    <row r="266" spans="1:13" x14ac:dyDescent="0.2">
      <c r="A266" s="795"/>
      <c r="B266" s="795"/>
      <c r="C266" s="795"/>
      <c r="D266" s="795"/>
      <c r="E266" s="795" t="s">
        <v>913</v>
      </c>
      <c r="F266" s="795"/>
      <c r="G266" s="795"/>
      <c r="H266" s="795"/>
      <c r="I266" s="795"/>
      <c r="J266" s="795"/>
      <c r="K266" s="795"/>
      <c r="L266" s="795"/>
      <c r="M266" s="795"/>
    </row>
    <row r="267" spans="1:13" x14ac:dyDescent="0.2">
      <c r="A267" s="795"/>
      <c r="B267" s="795"/>
      <c r="C267" s="795"/>
      <c r="D267" s="795"/>
      <c r="E267" s="795" t="s">
        <v>699</v>
      </c>
      <c r="F267" s="795"/>
      <c r="G267" s="795"/>
      <c r="H267" s="795"/>
      <c r="I267" s="795"/>
      <c r="J267" s="795"/>
      <c r="K267" s="795"/>
      <c r="L267" s="795"/>
      <c r="M267" s="795"/>
    </row>
    <row r="268" spans="1:13" x14ac:dyDescent="0.2">
      <c r="A268" s="795"/>
      <c r="B268" s="795"/>
      <c r="C268" s="795"/>
      <c r="D268" s="795"/>
      <c r="E268" s="795" t="s">
        <v>914</v>
      </c>
      <c r="F268" s="795"/>
      <c r="G268" s="795"/>
      <c r="H268" s="795"/>
      <c r="I268" s="795"/>
      <c r="J268" s="795"/>
      <c r="K268" s="795"/>
      <c r="L268" s="795"/>
      <c r="M268" s="795"/>
    </row>
    <row r="269" spans="1:13" x14ac:dyDescent="0.2">
      <c r="A269" s="795"/>
      <c r="B269" s="795"/>
      <c r="C269" s="795"/>
      <c r="D269" s="795"/>
      <c r="E269" s="795" t="s">
        <v>915</v>
      </c>
      <c r="F269" s="795"/>
      <c r="G269" s="795"/>
      <c r="H269" s="795"/>
      <c r="I269" s="795"/>
      <c r="J269" s="795"/>
      <c r="K269" s="795"/>
      <c r="L269" s="795"/>
      <c r="M269" s="795"/>
    </row>
    <row r="270" spans="1:13" x14ac:dyDescent="0.2">
      <c r="A270" s="795"/>
      <c r="B270" s="795"/>
      <c r="C270" s="795"/>
      <c r="D270" s="795"/>
      <c r="E270" s="795" t="s">
        <v>700</v>
      </c>
      <c r="F270" s="795"/>
      <c r="G270" s="795"/>
      <c r="H270" s="795"/>
      <c r="I270" s="795"/>
      <c r="J270" s="795"/>
      <c r="K270" s="795"/>
      <c r="L270" s="795"/>
      <c r="M270" s="795"/>
    </row>
    <row r="271" spans="1:13" x14ac:dyDescent="0.2">
      <c r="A271" s="795"/>
      <c r="B271" s="795"/>
      <c r="C271" s="795"/>
      <c r="D271" s="795"/>
      <c r="E271" s="795" t="s">
        <v>780</v>
      </c>
      <c r="F271" s="795"/>
      <c r="G271" s="795"/>
      <c r="H271" s="795"/>
      <c r="I271" s="795"/>
      <c r="J271" s="795"/>
      <c r="K271" s="795"/>
      <c r="L271" s="795"/>
      <c r="M271" s="795"/>
    </row>
    <row r="272" spans="1:13" x14ac:dyDescent="0.2">
      <c r="A272" s="795"/>
      <c r="B272" s="795"/>
      <c r="C272" s="795"/>
      <c r="D272" s="795"/>
      <c r="E272" s="795" t="s">
        <v>916</v>
      </c>
      <c r="F272" s="795"/>
      <c r="G272" s="795"/>
      <c r="H272" s="795"/>
      <c r="I272" s="795"/>
      <c r="J272" s="795"/>
      <c r="K272" s="795"/>
      <c r="L272" s="795"/>
      <c r="M272" s="795"/>
    </row>
    <row r="273" spans="1:13" x14ac:dyDescent="0.2">
      <c r="A273" s="795"/>
      <c r="B273" s="795"/>
      <c r="C273" s="795"/>
      <c r="D273" s="795"/>
      <c r="E273" s="795" t="s">
        <v>917</v>
      </c>
      <c r="F273" s="795"/>
      <c r="G273" s="795"/>
      <c r="H273" s="795"/>
      <c r="I273" s="795"/>
      <c r="J273" s="795"/>
      <c r="K273" s="795"/>
      <c r="L273" s="795"/>
      <c r="M273" s="795"/>
    </row>
    <row r="274" spans="1:13" x14ac:dyDescent="0.2">
      <c r="A274" s="795"/>
      <c r="B274" s="795"/>
      <c r="C274" s="795"/>
      <c r="D274" s="795"/>
      <c r="E274" s="795" t="s">
        <v>735</v>
      </c>
      <c r="F274" s="795"/>
      <c r="G274" s="795"/>
      <c r="H274" s="795"/>
      <c r="I274" s="795"/>
      <c r="J274" s="795"/>
      <c r="K274" s="795"/>
      <c r="L274" s="795"/>
      <c r="M274" s="795"/>
    </row>
    <row r="275" spans="1:13" x14ac:dyDescent="0.2">
      <c r="A275" s="795"/>
      <c r="B275" s="795"/>
      <c r="C275" s="795"/>
      <c r="D275" s="795"/>
      <c r="E275" s="795" t="s">
        <v>701</v>
      </c>
      <c r="F275" s="795"/>
      <c r="G275" s="795"/>
      <c r="H275" s="795"/>
      <c r="I275" s="795"/>
      <c r="J275" s="795"/>
      <c r="K275" s="795"/>
      <c r="L275" s="795"/>
      <c r="M275" s="795"/>
    </row>
    <row r="276" spans="1:13" x14ac:dyDescent="0.2">
      <c r="A276" s="795"/>
      <c r="B276" s="795"/>
      <c r="C276" s="795"/>
      <c r="D276" s="795"/>
      <c r="E276" s="795" t="s">
        <v>918</v>
      </c>
      <c r="F276" s="795"/>
      <c r="G276" s="795"/>
      <c r="H276" s="795"/>
      <c r="I276" s="795"/>
      <c r="J276" s="795"/>
      <c r="K276" s="795"/>
      <c r="L276" s="795"/>
      <c r="M276" s="795"/>
    </row>
    <row r="277" spans="1:13" x14ac:dyDescent="0.2">
      <c r="A277" s="795"/>
      <c r="B277" s="795"/>
      <c r="C277" s="795"/>
      <c r="D277" s="795"/>
      <c r="E277" s="795" t="s">
        <v>919</v>
      </c>
      <c r="F277" s="795"/>
      <c r="G277" s="795"/>
      <c r="H277" s="795"/>
      <c r="I277" s="795"/>
      <c r="J277" s="795"/>
      <c r="K277" s="795"/>
      <c r="L277" s="795"/>
      <c r="M277" s="795"/>
    </row>
    <row r="278" spans="1:13" x14ac:dyDescent="0.2">
      <c r="A278" s="795"/>
      <c r="B278" s="795"/>
      <c r="C278" s="795"/>
      <c r="D278" s="795"/>
      <c r="E278" s="795" t="s">
        <v>702</v>
      </c>
      <c r="F278" s="795"/>
      <c r="G278" s="795"/>
      <c r="H278" s="795"/>
      <c r="I278" s="795"/>
      <c r="J278" s="795"/>
      <c r="K278" s="795"/>
      <c r="L278" s="795"/>
      <c r="M278" s="795"/>
    </row>
    <row r="279" spans="1:13" x14ac:dyDescent="0.2">
      <c r="A279" s="795"/>
      <c r="B279" s="795"/>
      <c r="C279" s="795"/>
      <c r="D279" s="795"/>
      <c r="E279" s="795" t="s">
        <v>921</v>
      </c>
      <c r="F279" s="795"/>
      <c r="G279" s="795"/>
      <c r="H279" s="795"/>
      <c r="I279" s="795"/>
      <c r="J279" s="795"/>
      <c r="K279" s="795"/>
      <c r="L279" s="795"/>
      <c r="M279" s="795"/>
    </row>
    <row r="280" spans="1:13" x14ac:dyDescent="0.2">
      <c r="A280" s="795"/>
      <c r="B280" s="795"/>
      <c r="C280" s="795"/>
      <c r="D280" s="795"/>
      <c r="E280" s="795" t="s">
        <v>922</v>
      </c>
      <c r="F280" s="795"/>
      <c r="G280" s="795"/>
      <c r="H280" s="795"/>
      <c r="I280" s="795"/>
      <c r="J280" s="795"/>
      <c r="K280" s="795"/>
      <c r="L280" s="795"/>
      <c r="M280" s="795"/>
    </row>
    <row r="281" spans="1:13" x14ac:dyDescent="0.2">
      <c r="A281" s="795"/>
      <c r="B281" s="795"/>
      <c r="C281" s="795"/>
      <c r="D281" s="795"/>
      <c r="E281" s="795" t="s">
        <v>923</v>
      </c>
      <c r="F281" s="795"/>
      <c r="G281" s="795"/>
      <c r="H281" s="795"/>
      <c r="I281" s="795"/>
      <c r="J281" s="795"/>
      <c r="K281" s="795"/>
      <c r="L281" s="795"/>
      <c r="M281" s="795"/>
    </row>
    <row r="282" spans="1:13" x14ac:dyDescent="0.2">
      <c r="A282" s="795"/>
      <c r="B282" s="795"/>
      <c r="C282" s="795"/>
      <c r="D282" s="795"/>
      <c r="E282" s="795" t="s">
        <v>736</v>
      </c>
      <c r="F282" s="795"/>
      <c r="G282" s="795"/>
      <c r="H282" s="795"/>
      <c r="I282" s="795"/>
      <c r="J282" s="795"/>
      <c r="K282" s="795"/>
      <c r="L282" s="795"/>
      <c r="M282" s="795"/>
    </row>
    <row r="283" spans="1:13" x14ac:dyDescent="0.2">
      <c r="A283" s="795"/>
      <c r="B283" s="795"/>
      <c r="C283" s="795"/>
      <c r="D283" s="795"/>
      <c r="E283" s="795" t="s">
        <v>924</v>
      </c>
      <c r="F283" s="795"/>
      <c r="G283" s="795"/>
      <c r="H283" s="795"/>
      <c r="I283" s="795"/>
      <c r="J283" s="795"/>
      <c r="K283" s="795"/>
      <c r="L283" s="795"/>
      <c r="M283" s="795"/>
    </row>
    <row r="284" spans="1:13" x14ac:dyDescent="0.2">
      <c r="A284" s="795"/>
      <c r="B284" s="795"/>
      <c r="C284" s="795"/>
      <c r="D284" s="795"/>
      <c r="E284" s="795" t="s">
        <v>925</v>
      </c>
      <c r="F284" s="795"/>
      <c r="G284" s="795"/>
      <c r="H284" s="795"/>
      <c r="I284" s="795"/>
      <c r="J284" s="795"/>
      <c r="K284" s="795"/>
      <c r="L284" s="795"/>
      <c r="M284" s="795"/>
    </row>
    <row r="285" spans="1:13" x14ac:dyDescent="0.2">
      <c r="A285" s="795"/>
      <c r="B285" s="795"/>
      <c r="C285" s="795"/>
      <c r="D285" s="795"/>
      <c r="E285" s="795" t="s">
        <v>703</v>
      </c>
      <c r="F285" s="795"/>
      <c r="G285" s="795"/>
      <c r="H285" s="795"/>
      <c r="I285" s="795"/>
      <c r="J285" s="795"/>
      <c r="K285" s="795"/>
      <c r="L285" s="795"/>
      <c r="M285" s="795"/>
    </row>
    <row r="286" spans="1:13" x14ac:dyDescent="0.2">
      <c r="A286" s="795"/>
      <c r="B286" s="795"/>
      <c r="C286" s="795"/>
      <c r="D286" s="795"/>
      <c r="E286" s="795" t="s">
        <v>704</v>
      </c>
      <c r="F286" s="795"/>
      <c r="G286" s="795"/>
      <c r="H286" s="795"/>
      <c r="I286" s="795"/>
      <c r="J286" s="795"/>
      <c r="K286" s="795"/>
      <c r="L286" s="795"/>
      <c r="M286" s="795"/>
    </row>
    <row r="287" spans="1:13" x14ac:dyDescent="0.2">
      <c r="A287" s="795"/>
      <c r="B287" s="795"/>
      <c r="C287" s="795"/>
      <c r="D287" s="795"/>
      <c r="E287" s="795" t="s">
        <v>705</v>
      </c>
      <c r="F287" s="795"/>
      <c r="G287" s="795"/>
      <c r="H287" s="795"/>
      <c r="I287" s="795"/>
      <c r="J287" s="795"/>
      <c r="K287" s="795"/>
      <c r="L287" s="795"/>
      <c r="M287" s="795"/>
    </row>
    <row r="288" spans="1:13" x14ac:dyDescent="0.2">
      <c r="A288" s="795"/>
      <c r="B288" s="795"/>
      <c r="C288" s="795"/>
      <c r="D288" s="795"/>
      <c r="E288" s="795" t="s">
        <v>926</v>
      </c>
      <c r="F288" s="795"/>
      <c r="G288" s="795"/>
      <c r="H288" s="795"/>
      <c r="I288" s="795"/>
      <c r="J288" s="795"/>
      <c r="K288" s="795"/>
      <c r="L288" s="795"/>
      <c r="M288" s="795"/>
    </row>
    <row r="289" spans="1:13" x14ac:dyDescent="0.2">
      <c r="A289" s="795"/>
      <c r="B289" s="795"/>
      <c r="C289" s="795"/>
      <c r="D289" s="795"/>
      <c r="E289" s="795" t="s">
        <v>706</v>
      </c>
      <c r="F289" s="795"/>
      <c r="G289" s="795"/>
      <c r="H289" s="795"/>
      <c r="I289" s="795"/>
      <c r="J289" s="795"/>
      <c r="K289" s="795"/>
      <c r="L289" s="795"/>
      <c r="M289" s="795"/>
    </row>
    <row r="290" spans="1:13" x14ac:dyDescent="0.2">
      <c r="A290" s="795"/>
      <c r="B290" s="795"/>
      <c r="C290" s="795"/>
      <c r="D290" s="795"/>
      <c r="E290" s="795" t="s">
        <v>927</v>
      </c>
      <c r="F290" s="795"/>
      <c r="G290" s="795"/>
      <c r="H290" s="795"/>
      <c r="I290" s="795"/>
      <c r="J290" s="795"/>
      <c r="K290" s="795"/>
      <c r="L290" s="795"/>
      <c r="M290" s="795"/>
    </row>
    <row r="291" spans="1:13" x14ac:dyDescent="0.2">
      <c r="A291" s="795"/>
      <c r="B291" s="795"/>
      <c r="C291" s="795"/>
      <c r="D291" s="795"/>
      <c r="E291" s="795" t="s">
        <v>928</v>
      </c>
      <c r="F291" s="795"/>
      <c r="G291" s="795"/>
      <c r="H291" s="795"/>
      <c r="I291" s="795"/>
      <c r="J291" s="795"/>
      <c r="K291" s="795"/>
      <c r="L291" s="795"/>
      <c r="M291" s="795"/>
    </row>
    <row r="292" spans="1:13" x14ac:dyDescent="0.2">
      <c r="A292" s="795"/>
      <c r="B292" s="795"/>
      <c r="C292" s="795"/>
      <c r="D292" s="795"/>
      <c r="E292" s="795" t="s">
        <v>707</v>
      </c>
      <c r="F292" s="795"/>
      <c r="G292" s="795"/>
      <c r="H292" s="795"/>
      <c r="I292" s="795"/>
      <c r="J292" s="795"/>
      <c r="K292" s="795"/>
      <c r="L292" s="795"/>
      <c r="M292" s="795"/>
    </row>
    <row r="293" spans="1:13" x14ac:dyDescent="0.2">
      <c r="A293" s="795"/>
      <c r="B293" s="795"/>
      <c r="C293" s="795"/>
      <c r="D293" s="795"/>
      <c r="E293" s="795" t="s">
        <v>929</v>
      </c>
      <c r="F293" s="795"/>
      <c r="G293" s="795"/>
      <c r="H293" s="795"/>
      <c r="I293" s="795"/>
      <c r="J293" s="795"/>
      <c r="K293" s="795"/>
      <c r="L293" s="795"/>
      <c r="M293" s="795"/>
    </row>
    <row r="294" spans="1:13" x14ac:dyDescent="0.2">
      <c r="A294" s="795"/>
      <c r="B294" s="795"/>
      <c r="C294" s="795"/>
      <c r="D294" s="795"/>
      <c r="E294" s="795" t="s">
        <v>737</v>
      </c>
      <c r="F294" s="795"/>
      <c r="G294" s="795"/>
      <c r="H294" s="795"/>
      <c r="I294" s="795"/>
      <c r="J294" s="795"/>
      <c r="K294" s="795"/>
      <c r="L294" s="795"/>
      <c r="M294" s="795"/>
    </row>
    <row r="295" spans="1:13" x14ac:dyDescent="0.2">
      <c r="A295" s="795"/>
      <c r="B295" s="795"/>
      <c r="C295" s="795"/>
      <c r="D295" s="795"/>
      <c r="E295" s="795" t="s">
        <v>930</v>
      </c>
      <c r="F295" s="795"/>
      <c r="G295" s="795"/>
      <c r="H295" s="795"/>
      <c r="I295" s="795"/>
      <c r="J295" s="795"/>
      <c r="K295" s="795"/>
      <c r="L295" s="795"/>
      <c r="M295" s="795"/>
    </row>
    <row r="296" spans="1:13" x14ac:dyDescent="0.2">
      <c r="A296" s="795"/>
      <c r="B296" s="795"/>
      <c r="C296" s="795"/>
      <c r="D296" s="795"/>
      <c r="E296" s="795" t="s">
        <v>781</v>
      </c>
      <c r="F296" s="795"/>
      <c r="G296" s="795"/>
      <c r="H296" s="795"/>
      <c r="I296" s="795"/>
      <c r="J296" s="795"/>
      <c r="K296" s="795"/>
      <c r="L296" s="795"/>
      <c r="M296" s="795"/>
    </row>
    <row r="297" spans="1:13" x14ac:dyDescent="0.2">
      <c r="A297" s="795"/>
      <c r="B297" s="795"/>
      <c r="C297" s="795"/>
      <c r="D297" s="795"/>
      <c r="E297" s="795" t="s">
        <v>931</v>
      </c>
      <c r="F297" s="795"/>
      <c r="G297" s="795"/>
      <c r="H297" s="795"/>
      <c r="I297" s="795"/>
      <c r="J297" s="795"/>
      <c r="K297" s="795"/>
      <c r="L297" s="795"/>
      <c r="M297" s="795"/>
    </row>
    <row r="298" spans="1:13" x14ac:dyDescent="0.2">
      <c r="A298" s="795"/>
      <c r="B298" s="795"/>
      <c r="C298" s="795"/>
      <c r="D298" s="795"/>
      <c r="E298" s="795" t="s">
        <v>932</v>
      </c>
      <c r="F298" s="795"/>
      <c r="G298" s="795"/>
      <c r="H298" s="795"/>
      <c r="I298" s="795"/>
      <c r="J298" s="795"/>
      <c r="K298" s="795"/>
      <c r="L298" s="795"/>
      <c r="M298" s="795"/>
    </row>
    <row r="299" spans="1:13" x14ac:dyDescent="0.2">
      <c r="A299" s="795"/>
      <c r="B299" s="795"/>
      <c r="C299" s="795"/>
      <c r="D299" s="795"/>
      <c r="E299" s="795" t="s">
        <v>708</v>
      </c>
      <c r="F299" s="795"/>
      <c r="G299" s="795"/>
      <c r="H299" s="795"/>
      <c r="I299" s="795"/>
      <c r="J299" s="795"/>
      <c r="K299" s="795"/>
      <c r="L299" s="795"/>
      <c r="M299" s="795"/>
    </row>
    <row r="300" spans="1:13" x14ac:dyDescent="0.2">
      <c r="A300" s="795"/>
      <c r="B300" s="795"/>
      <c r="C300" s="795"/>
      <c r="D300" s="795"/>
      <c r="E300" s="795" t="s">
        <v>933</v>
      </c>
      <c r="F300" s="795"/>
      <c r="G300" s="795"/>
      <c r="H300" s="795"/>
      <c r="I300" s="795"/>
      <c r="J300" s="795"/>
      <c r="K300" s="795"/>
      <c r="L300" s="795"/>
      <c r="M300" s="795"/>
    </row>
    <row r="301" spans="1:13" x14ac:dyDescent="0.2">
      <c r="A301" s="795"/>
      <c r="B301" s="795"/>
      <c r="C301" s="795"/>
      <c r="D301" s="795"/>
      <c r="E301" s="795" t="s">
        <v>934</v>
      </c>
      <c r="F301" s="795"/>
      <c r="G301" s="795"/>
      <c r="H301" s="795"/>
      <c r="I301" s="795"/>
      <c r="J301" s="795"/>
      <c r="K301" s="795"/>
      <c r="L301" s="795"/>
      <c r="M301" s="795"/>
    </row>
    <row r="302" spans="1:13" x14ac:dyDescent="0.2">
      <c r="A302" s="795"/>
      <c r="B302" s="795"/>
      <c r="C302" s="795"/>
      <c r="D302" s="795"/>
      <c r="E302" s="795" t="s">
        <v>782</v>
      </c>
      <c r="F302" s="795"/>
      <c r="G302" s="795"/>
      <c r="H302" s="795"/>
      <c r="I302" s="795"/>
      <c r="J302" s="795"/>
      <c r="K302" s="795"/>
      <c r="L302" s="795"/>
      <c r="M302" s="795"/>
    </row>
    <row r="303" spans="1:13" x14ac:dyDescent="0.2">
      <c r="A303" s="795"/>
      <c r="B303" s="795"/>
      <c r="C303" s="795"/>
      <c r="D303" s="795"/>
      <c r="E303" s="795" t="s">
        <v>935</v>
      </c>
      <c r="F303" s="795"/>
      <c r="G303" s="795"/>
      <c r="H303" s="795"/>
      <c r="I303" s="795"/>
      <c r="J303" s="795"/>
      <c r="K303" s="795"/>
      <c r="L303" s="795"/>
      <c r="M303" s="795"/>
    </row>
    <row r="304" spans="1:13" x14ac:dyDescent="0.2">
      <c r="A304" s="795"/>
      <c r="B304" s="795"/>
      <c r="C304" s="795"/>
      <c r="D304" s="795"/>
      <c r="E304" s="795" t="s">
        <v>783</v>
      </c>
      <c r="F304" s="795"/>
      <c r="G304" s="795"/>
      <c r="H304" s="795"/>
      <c r="I304" s="795"/>
      <c r="J304" s="795"/>
      <c r="K304" s="795"/>
      <c r="L304" s="795"/>
      <c r="M304" s="795"/>
    </row>
    <row r="305" spans="1:13" x14ac:dyDescent="0.2">
      <c r="A305" s="795"/>
      <c r="B305" s="795"/>
      <c r="C305" s="795"/>
      <c r="D305" s="795"/>
      <c r="E305" s="795" t="s">
        <v>784</v>
      </c>
      <c r="F305" s="795"/>
      <c r="G305" s="795"/>
      <c r="H305" s="795"/>
      <c r="I305" s="795"/>
      <c r="J305" s="795"/>
      <c r="K305" s="795"/>
      <c r="L305" s="795"/>
      <c r="M305" s="795"/>
    </row>
    <row r="306" spans="1:13" x14ac:dyDescent="0.2">
      <c r="A306" s="795"/>
      <c r="B306" s="795"/>
      <c r="C306" s="795"/>
      <c r="D306" s="795"/>
      <c r="E306" s="795" t="s">
        <v>709</v>
      </c>
      <c r="F306" s="795"/>
      <c r="G306" s="795"/>
      <c r="H306" s="795"/>
      <c r="I306" s="795"/>
      <c r="J306" s="795"/>
      <c r="K306" s="795"/>
      <c r="L306" s="795"/>
      <c r="M306" s="795"/>
    </row>
    <row r="307" spans="1:13" x14ac:dyDescent="0.2">
      <c r="A307" s="795"/>
      <c r="B307" s="795"/>
      <c r="C307" s="795"/>
      <c r="D307" s="795"/>
      <c r="E307" s="795" t="s">
        <v>936</v>
      </c>
      <c r="F307" s="795"/>
      <c r="G307" s="795"/>
      <c r="H307" s="795"/>
      <c r="I307" s="795"/>
      <c r="J307" s="795"/>
      <c r="K307" s="795"/>
      <c r="L307" s="795"/>
      <c r="M307" s="795"/>
    </row>
    <row r="308" spans="1:13" x14ac:dyDescent="0.2">
      <c r="A308" s="795"/>
      <c r="B308" s="795"/>
      <c r="C308" s="795"/>
      <c r="D308" s="795"/>
      <c r="E308" s="795" t="s">
        <v>710</v>
      </c>
      <c r="F308" s="795"/>
      <c r="G308" s="795"/>
      <c r="H308" s="795"/>
      <c r="I308" s="795"/>
      <c r="J308" s="795"/>
      <c r="K308" s="795"/>
      <c r="L308" s="795"/>
      <c r="M308" s="795"/>
    </row>
    <row r="309" spans="1:13" x14ac:dyDescent="0.2">
      <c r="A309" s="795"/>
      <c r="B309" s="795"/>
      <c r="C309" s="795"/>
      <c r="D309" s="795"/>
      <c r="E309" s="795" t="s">
        <v>711</v>
      </c>
      <c r="F309" s="795"/>
      <c r="G309" s="795"/>
      <c r="H309" s="795"/>
      <c r="I309" s="795"/>
      <c r="J309" s="795"/>
      <c r="K309" s="795"/>
      <c r="L309" s="795"/>
      <c r="M309" s="795"/>
    </row>
    <row r="310" spans="1:13" x14ac:dyDescent="0.2">
      <c r="A310" s="795"/>
      <c r="B310" s="795"/>
      <c r="C310" s="795"/>
      <c r="D310" s="795"/>
      <c r="E310" s="795" t="s">
        <v>937</v>
      </c>
      <c r="F310" s="795"/>
      <c r="G310" s="795"/>
      <c r="H310" s="795"/>
      <c r="I310" s="795"/>
      <c r="J310" s="795"/>
      <c r="K310" s="795"/>
      <c r="L310" s="795"/>
      <c r="M310" s="795"/>
    </row>
    <row r="311" spans="1:13" x14ac:dyDescent="0.2">
      <c r="A311" s="795"/>
      <c r="B311" s="795"/>
      <c r="C311" s="795"/>
      <c r="D311" s="795"/>
      <c r="E311" s="795" t="s">
        <v>938</v>
      </c>
      <c r="F311" s="795"/>
      <c r="G311" s="795"/>
      <c r="H311" s="795"/>
      <c r="I311" s="795"/>
      <c r="J311" s="795"/>
      <c r="K311" s="795"/>
      <c r="L311" s="795"/>
      <c r="M311" s="795"/>
    </row>
    <row r="312" spans="1:13" x14ac:dyDescent="0.2">
      <c r="A312" s="795"/>
      <c r="B312" s="795"/>
      <c r="C312" s="795"/>
      <c r="D312" s="795"/>
      <c r="E312" s="795" t="s">
        <v>939</v>
      </c>
      <c r="F312" s="795"/>
      <c r="G312" s="795"/>
      <c r="H312" s="795"/>
      <c r="I312" s="795"/>
      <c r="J312" s="795"/>
      <c r="K312" s="795"/>
      <c r="L312" s="795"/>
      <c r="M312" s="795"/>
    </row>
    <row r="313" spans="1:13" x14ac:dyDescent="0.2">
      <c r="A313" s="795"/>
      <c r="B313" s="795"/>
      <c r="C313" s="795"/>
      <c r="D313" s="795"/>
      <c r="E313" s="795" t="s">
        <v>822</v>
      </c>
      <c r="F313" s="795"/>
      <c r="G313" s="795"/>
      <c r="H313" s="795"/>
      <c r="I313" s="795"/>
      <c r="J313" s="795"/>
      <c r="K313" s="795"/>
      <c r="L313" s="795"/>
      <c r="M313" s="795"/>
    </row>
    <row r="314" spans="1:13" x14ac:dyDescent="0.2">
      <c r="A314" s="795"/>
      <c r="B314" s="795"/>
      <c r="C314" s="795"/>
      <c r="D314" s="795"/>
      <c r="E314" s="795" t="s">
        <v>920</v>
      </c>
      <c r="F314" s="795"/>
      <c r="G314" s="795"/>
      <c r="H314" s="795"/>
      <c r="I314" s="795"/>
      <c r="J314" s="795"/>
      <c r="K314" s="795"/>
      <c r="L314" s="795"/>
      <c r="M314" s="795"/>
    </row>
    <row r="315" spans="1:13" x14ac:dyDescent="0.2">
      <c r="A315" s="795"/>
      <c r="B315" s="795"/>
      <c r="C315" s="795"/>
      <c r="D315" s="795"/>
      <c r="E315" s="795" t="s">
        <v>712</v>
      </c>
      <c r="F315" s="795"/>
      <c r="G315" s="795"/>
      <c r="H315" s="795"/>
      <c r="I315" s="795"/>
      <c r="J315" s="795"/>
      <c r="K315" s="795"/>
      <c r="L315" s="795"/>
      <c r="M315" s="795"/>
    </row>
    <row r="316" spans="1:13" x14ac:dyDescent="0.2">
      <c r="A316" s="795"/>
      <c r="B316" s="795"/>
      <c r="C316" s="795"/>
      <c r="D316" s="795"/>
      <c r="E316" s="795" t="s">
        <v>713</v>
      </c>
      <c r="F316" s="795"/>
      <c r="G316" s="795"/>
      <c r="H316" s="795"/>
      <c r="I316" s="795"/>
      <c r="J316" s="795"/>
      <c r="K316" s="795"/>
      <c r="L316" s="795"/>
      <c r="M316" s="795"/>
    </row>
    <row r="317" spans="1:13" x14ac:dyDescent="0.2">
      <c r="A317" s="795"/>
      <c r="B317" s="795"/>
      <c r="C317" s="795"/>
      <c r="D317" s="795"/>
      <c r="E317" s="795" t="s">
        <v>940</v>
      </c>
      <c r="F317" s="795"/>
      <c r="G317" s="795"/>
      <c r="H317" s="795"/>
      <c r="I317" s="795"/>
      <c r="J317" s="795"/>
      <c r="K317" s="795"/>
      <c r="L317" s="795"/>
      <c r="M317" s="795"/>
    </row>
    <row r="318" spans="1:13" x14ac:dyDescent="0.2">
      <c r="A318" s="795"/>
      <c r="B318" s="795"/>
      <c r="C318" s="795"/>
      <c r="D318" s="795"/>
      <c r="E318" s="795" t="s">
        <v>622</v>
      </c>
      <c r="F318" s="795"/>
      <c r="G318" s="795"/>
      <c r="H318" s="795"/>
      <c r="I318" s="795"/>
      <c r="J318" s="795"/>
      <c r="K318" s="795"/>
      <c r="L318" s="795"/>
      <c r="M318" s="795"/>
    </row>
    <row r="319" spans="1:13" x14ac:dyDescent="0.2">
      <c r="A319" s="795"/>
      <c r="B319" s="795"/>
      <c r="C319" s="795"/>
      <c r="D319" s="795"/>
      <c r="E319" s="795" t="s">
        <v>941</v>
      </c>
      <c r="F319" s="795"/>
      <c r="G319" s="795"/>
      <c r="H319" s="795"/>
      <c r="I319" s="795"/>
      <c r="J319" s="795"/>
      <c r="K319" s="795"/>
      <c r="L319" s="795"/>
      <c r="M319" s="795"/>
    </row>
    <row r="320" spans="1:13" x14ac:dyDescent="0.2">
      <c r="A320" s="795"/>
      <c r="B320" s="795"/>
      <c r="C320" s="795"/>
      <c r="D320" s="795"/>
      <c r="E320" s="795" t="s">
        <v>942</v>
      </c>
      <c r="F320" s="795"/>
      <c r="G320" s="795"/>
      <c r="H320" s="795"/>
      <c r="I320" s="795"/>
      <c r="J320" s="795"/>
      <c r="K320" s="795"/>
      <c r="L320" s="795"/>
      <c r="M320" s="795"/>
    </row>
    <row r="321" spans="1:13" x14ac:dyDescent="0.2">
      <c r="A321" s="795"/>
      <c r="B321" s="795"/>
      <c r="C321" s="795"/>
      <c r="D321" s="795"/>
      <c r="E321" s="795" t="s">
        <v>714</v>
      </c>
      <c r="F321" s="795"/>
      <c r="G321" s="795"/>
      <c r="H321" s="795"/>
      <c r="I321" s="795"/>
      <c r="J321" s="795"/>
      <c r="K321" s="795"/>
      <c r="L321" s="795"/>
      <c r="M321" s="795"/>
    </row>
    <row r="322" spans="1:13" x14ac:dyDescent="0.2">
      <c r="A322" s="795"/>
      <c r="B322" s="795"/>
      <c r="C322" s="795"/>
      <c r="D322" s="795"/>
      <c r="E322" s="795" t="s">
        <v>943</v>
      </c>
      <c r="F322" s="795"/>
      <c r="G322" s="795"/>
      <c r="H322" s="795"/>
      <c r="I322" s="795"/>
      <c r="J322" s="795"/>
      <c r="K322" s="795"/>
      <c r="L322" s="795"/>
      <c r="M322" s="795"/>
    </row>
    <row r="323" spans="1:13" x14ac:dyDescent="0.2">
      <c r="A323" s="795"/>
      <c r="B323" s="795"/>
      <c r="C323" s="795"/>
      <c r="D323" s="795"/>
      <c r="E323" s="795" t="s">
        <v>785</v>
      </c>
      <c r="F323" s="795"/>
      <c r="G323" s="795"/>
      <c r="H323" s="795"/>
      <c r="I323" s="795"/>
      <c r="J323" s="795"/>
      <c r="K323" s="795"/>
      <c r="L323" s="795"/>
      <c r="M323" s="795"/>
    </row>
    <row r="324" spans="1:13" x14ac:dyDescent="0.2">
      <c r="A324" s="795"/>
      <c r="B324" s="795"/>
      <c r="C324" s="795"/>
      <c r="D324" s="795"/>
      <c r="E324" s="795" t="s">
        <v>944</v>
      </c>
      <c r="F324" s="795"/>
      <c r="G324" s="795"/>
      <c r="H324" s="795"/>
      <c r="I324" s="795"/>
      <c r="J324" s="795"/>
      <c r="K324" s="795"/>
      <c r="L324" s="795"/>
      <c r="M324" s="795"/>
    </row>
    <row r="325" spans="1:13" x14ac:dyDescent="0.2">
      <c r="A325" s="795"/>
      <c r="B325" s="795"/>
      <c r="C325" s="795"/>
      <c r="D325" s="795"/>
      <c r="E325" s="795" t="s">
        <v>786</v>
      </c>
      <c r="F325" s="795"/>
      <c r="G325" s="795"/>
      <c r="H325" s="795"/>
      <c r="I325" s="795"/>
      <c r="J325" s="795"/>
      <c r="K325" s="795"/>
      <c r="L325" s="795"/>
      <c r="M325" s="795"/>
    </row>
    <row r="326" spans="1:13" x14ac:dyDescent="0.2">
      <c r="A326" s="795"/>
      <c r="B326" s="795"/>
      <c r="C326" s="795"/>
      <c r="D326" s="795"/>
      <c r="E326" s="795" t="s">
        <v>722</v>
      </c>
      <c r="F326" s="795"/>
      <c r="G326" s="795"/>
      <c r="H326" s="795"/>
      <c r="I326" s="795"/>
      <c r="J326" s="795"/>
      <c r="K326" s="795"/>
      <c r="L326" s="795"/>
      <c r="M326" s="795"/>
    </row>
    <row r="327" spans="1:13" x14ac:dyDescent="0.2">
      <c r="A327" s="795"/>
      <c r="B327" s="795"/>
      <c r="C327" s="795"/>
      <c r="D327" s="795"/>
      <c r="E327" s="795" t="s">
        <v>945</v>
      </c>
      <c r="F327" s="795"/>
      <c r="G327" s="795"/>
      <c r="H327" s="795"/>
      <c r="I327" s="795"/>
      <c r="J327" s="795"/>
      <c r="K327" s="795"/>
      <c r="L327" s="795"/>
      <c r="M327" s="795"/>
    </row>
    <row r="328" spans="1:13" x14ac:dyDescent="0.2">
      <c r="A328" s="795"/>
      <c r="B328" s="795"/>
      <c r="C328" s="795"/>
      <c r="D328" s="795"/>
      <c r="E328" s="795" t="s">
        <v>946</v>
      </c>
      <c r="F328" s="795"/>
      <c r="G328" s="795"/>
      <c r="H328" s="795"/>
      <c r="I328" s="795"/>
      <c r="J328" s="795"/>
      <c r="K328" s="795"/>
      <c r="L328" s="795"/>
      <c r="M328" s="795"/>
    </row>
    <row r="329" spans="1:13" x14ac:dyDescent="0.2">
      <c r="A329" s="795"/>
      <c r="B329" s="795"/>
      <c r="C329" s="795"/>
      <c r="D329" s="795"/>
      <c r="E329" s="795" t="s">
        <v>787</v>
      </c>
      <c r="F329" s="795"/>
      <c r="G329" s="795"/>
      <c r="H329" s="795"/>
      <c r="I329" s="795"/>
      <c r="J329" s="795"/>
      <c r="K329" s="795"/>
      <c r="L329" s="795"/>
      <c r="M329" s="795"/>
    </row>
    <row r="330" spans="1:13" x14ac:dyDescent="0.2">
      <c r="A330" s="795"/>
      <c r="B330" s="795"/>
      <c r="C330" s="795"/>
      <c r="D330" s="795"/>
      <c r="E330" s="795" t="s">
        <v>947</v>
      </c>
      <c r="F330" s="795"/>
      <c r="G330" s="795"/>
      <c r="H330" s="795"/>
      <c r="I330" s="795"/>
      <c r="J330" s="795"/>
      <c r="K330" s="795"/>
      <c r="L330" s="795"/>
      <c r="M330" s="795"/>
    </row>
    <row r="331" spans="1:13" x14ac:dyDescent="0.2">
      <c r="A331" s="795"/>
      <c r="B331" s="795"/>
      <c r="C331" s="795"/>
      <c r="D331" s="795"/>
      <c r="E331" s="795" t="s">
        <v>788</v>
      </c>
      <c r="F331" s="795"/>
      <c r="G331" s="795"/>
      <c r="H331" s="795"/>
      <c r="I331" s="795"/>
      <c r="J331" s="795"/>
      <c r="K331" s="795"/>
      <c r="L331" s="795"/>
      <c r="M331" s="795"/>
    </row>
    <row r="332" spans="1:13" x14ac:dyDescent="0.2">
      <c r="A332" s="795"/>
      <c r="B332" s="795"/>
      <c r="C332" s="795"/>
      <c r="D332" s="795"/>
      <c r="E332" s="795" t="s">
        <v>948</v>
      </c>
      <c r="F332" s="795"/>
      <c r="G332" s="795"/>
      <c r="H332" s="795"/>
      <c r="I332" s="795"/>
      <c r="J332" s="795"/>
      <c r="K332" s="795"/>
      <c r="L332" s="795"/>
      <c r="M332" s="795"/>
    </row>
    <row r="333" spans="1:13" x14ac:dyDescent="0.2">
      <c r="A333" s="795"/>
      <c r="B333" s="795"/>
      <c r="C333" s="795"/>
      <c r="D333" s="795"/>
      <c r="E333" s="795" t="s">
        <v>949</v>
      </c>
      <c r="F333" s="795"/>
      <c r="G333" s="795"/>
      <c r="H333" s="795"/>
      <c r="I333" s="795"/>
      <c r="J333" s="795"/>
      <c r="K333" s="795"/>
      <c r="L333" s="795"/>
      <c r="M333" s="795"/>
    </row>
    <row r="334" spans="1:13" x14ac:dyDescent="0.2">
      <c r="A334" s="795"/>
      <c r="B334" s="795"/>
      <c r="C334" s="795"/>
      <c r="D334" s="795"/>
      <c r="E334" s="795" t="s">
        <v>715</v>
      </c>
      <c r="F334" s="795"/>
      <c r="G334" s="795"/>
      <c r="H334" s="795"/>
      <c r="I334" s="795"/>
      <c r="J334" s="795"/>
      <c r="K334" s="795"/>
      <c r="L334" s="795"/>
      <c r="M334" s="795"/>
    </row>
    <row r="335" spans="1:13" x14ac:dyDescent="0.2">
      <c r="A335" s="795"/>
      <c r="B335" s="795"/>
      <c r="C335" s="795"/>
      <c r="D335" s="795"/>
      <c r="E335" s="795" t="s">
        <v>950</v>
      </c>
      <c r="F335" s="795"/>
      <c r="G335" s="795"/>
      <c r="H335" s="795"/>
      <c r="I335" s="795"/>
      <c r="J335" s="795"/>
      <c r="K335" s="795"/>
      <c r="L335" s="795"/>
      <c r="M335" s="795"/>
    </row>
    <row r="336" spans="1:13" x14ac:dyDescent="0.2">
      <c r="A336" s="795"/>
      <c r="B336" s="795"/>
      <c r="C336" s="795"/>
      <c r="D336" s="795"/>
      <c r="E336" s="795" t="s">
        <v>716</v>
      </c>
      <c r="F336" s="795"/>
      <c r="G336" s="795"/>
      <c r="H336" s="795"/>
      <c r="I336" s="795"/>
      <c r="J336" s="795"/>
      <c r="K336" s="795"/>
      <c r="L336" s="795"/>
      <c r="M336" s="795"/>
    </row>
    <row r="337" spans="1:13" x14ac:dyDescent="0.2">
      <c r="A337" s="795"/>
      <c r="B337" s="795"/>
      <c r="C337" s="795"/>
      <c r="D337" s="795"/>
      <c r="E337" s="795" t="s">
        <v>624</v>
      </c>
      <c r="F337" s="795"/>
      <c r="G337" s="795"/>
      <c r="H337" s="795"/>
      <c r="I337" s="795"/>
      <c r="J337" s="795"/>
      <c r="K337" s="795"/>
      <c r="L337" s="795"/>
      <c r="M337" s="795"/>
    </row>
    <row r="338" spans="1:13" x14ac:dyDescent="0.2">
      <c r="A338" s="795"/>
      <c r="B338" s="795"/>
      <c r="C338" s="795"/>
      <c r="D338" s="795"/>
      <c r="E338" s="795" t="s">
        <v>951</v>
      </c>
      <c r="F338" s="795"/>
      <c r="G338" s="795"/>
      <c r="H338" s="795"/>
      <c r="I338" s="795"/>
      <c r="J338" s="795"/>
      <c r="K338" s="795"/>
      <c r="L338" s="795"/>
      <c r="M338" s="795"/>
    </row>
    <row r="339" spans="1:13" x14ac:dyDescent="0.2">
      <c r="A339" s="795"/>
      <c r="B339" s="795"/>
      <c r="C339" s="795"/>
      <c r="D339" s="795"/>
      <c r="E339" s="795" t="s">
        <v>789</v>
      </c>
      <c r="F339" s="795"/>
      <c r="G339" s="795"/>
      <c r="H339" s="795"/>
      <c r="I339" s="795"/>
      <c r="J339" s="795"/>
      <c r="K339" s="795"/>
      <c r="L339" s="795"/>
      <c r="M339" s="795"/>
    </row>
    <row r="340" spans="1:13" x14ac:dyDescent="0.2">
      <c r="A340" s="795"/>
      <c r="B340" s="795"/>
      <c r="C340" s="795"/>
      <c r="D340" s="795"/>
      <c r="E340" s="795" t="s">
        <v>952</v>
      </c>
      <c r="F340" s="795"/>
      <c r="G340" s="795"/>
      <c r="H340" s="795"/>
      <c r="I340" s="795"/>
      <c r="J340" s="795"/>
      <c r="K340" s="795"/>
      <c r="L340" s="795"/>
      <c r="M340" s="795"/>
    </row>
    <row r="341" spans="1:13" x14ac:dyDescent="0.2">
      <c r="A341" s="795"/>
      <c r="B341" s="795"/>
      <c r="C341" s="795"/>
      <c r="D341" s="795"/>
      <c r="E341" s="795" t="s">
        <v>953</v>
      </c>
      <c r="F341" s="795"/>
      <c r="G341" s="795"/>
      <c r="H341" s="795"/>
      <c r="I341" s="795"/>
      <c r="J341" s="795"/>
      <c r="K341" s="795"/>
      <c r="L341" s="795"/>
      <c r="M341" s="795"/>
    </row>
    <row r="342" spans="1:13" x14ac:dyDescent="0.2">
      <c r="A342" s="795"/>
      <c r="B342" s="795"/>
      <c r="C342" s="795"/>
      <c r="D342" s="795"/>
      <c r="E342" s="795" t="s">
        <v>954</v>
      </c>
      <c r="F342" s="795"/>
      <c r="G342" s="795"/>
      <c r="H342" s="795"/>
      <c r="I342" s="795"/>
      <c r="J342" s="795"/>
      <c r="K342" s="795"/>
      <c r="L342" s="795"/>
      <c r="M342" s="795"/>
    </row>
    <row r="343" spans="1:13" x14ac:dyDescent="0.2">
      <c r="A343" s="795"/>
      <c r="B343" s="795"/>
      <c r="C343" s="795"/>
      <c r="D343" s="795"/>
      <c r="E343" s="795" t="s">
        <v>616</v>
      </c>
      <c r="F343" s="795"/>
      <c r="G343" s="795"/>
      <c r="H343" s="795"/>
      <c r="I343" s="795"/>
      <c r="J343" s="795"/>
      <c r="K343" s="795"/>
      <c r="L343" s="795"/>
      <c r="M343" s="795"/>
    </row>
    <row r="344" spans="1:13" x14ac:dyDescent="0.2">
      <c r="A344" s="795"/>
      <c r="B344" s="795"/>
      <c r="C344" s="795"/>
      <c r="D344" s="795"/>
      <c r="E344" s="795" t="s">
        <v>955</v>
      </c>
      <c r="F344" s="795"/>
      <c r="G344" s="795"/>
      <c r="H344" s="795"/>
      <c r="I344" s="795"/>
      <c r="J344" s="795"/>
      <c r="K344" s="795"/>
      <c r="L344" s="795"/>
      <c r="M344" s="795"/>
    </row>
    <row r="345" spans="1:13" x14ac:dyDescent="0.2">
      <c r="A345" s="795"/>
      <c r="B345" s="795"/>
      <c r="C345" s="795"/>
      <c r="D345" s="795"/>
      <c r="E345" s="795" t="s">
        <v>717</v>
      </c>
      <c r="F345" s="795"/>
      <c r="G345" s="795"/>
      <c r="H345" s="795"/>
      <c r="I345" s="795"/>
      <c r="J345" s="795"/>
      <c r="K345" s="795"/>
      <c r="L345" s="795"/>
      <c r="M345" s="795"/>
    </row>
    <row r="346" spans="1:13" x14ac:dyDescent="0.2">
      <c r="A346" s="795"/>
      <c r="B346" s="795"/>
      <c r="C346" s="795"/>
      <c r="D346" s="795"/>
      <c r="E346" s="795" t="s">
        <v>956</v>
      </c>
      <c r="F346" s="795"/>
      <c r="G346" s="795"/>
      <c r="H346" s="795"/>
      <c r="I346" s="795"/>
      <c r="J346" s="795"/>
      <c r="K346" s="795"/>
      <c r="L346" s="795"/>
      <c r="M346" s="795"/>
    </row>
    <row r="347" spans="1:13" x14ac:dyDescent="0.2">
      <c r="A347" s="795"/>
      <c r="B347" s="795"/>
      <c r="C347" s="795"/>
      <c r="D347" s="795"/>
      <c r="E347" s="795" t="s">
        <v>60</v>
      </c>
      <c r="F347" s="795"/>
      <c r="G347" s="795"/>
      <c r="H347" s="795"/>
      <c r="I347" s="795"/>
      <c r="J347" s="795"/>
      <c r="K347" s="795"/>
      <c r="L347" s="795"/>
      <c r="M347" s="795"/>
    </row>
    <row r="348" spans="1:13" x14ac:dyDescent="0.2">
      <c r="A348" s="795"/>
      <c r="B348" s="795"/>
      <c r="C348" s="795"/>
      <c r="D348" s="795"/>
      <c r="E348" s="795" t="s">
        <v>615</v>
      </c>
      <c r="F348" s="795"/>
      <c r="G348" s="795"/>
      <c r="H348" s="795"/>
      <c r="I348" s="795"/>
      <c r="J348" s="795"/>
      <c r="K348" s="795"/>
      <c r="L348" s="795"/>
      <c r="M348" s="795"/>
    </row>
    <row r="349" spans="1:13" x14ac:dyDescent="0.2">
      <c r="A349" s="795"/>
      <c r="B349" s="795"/>
      <c r="C349" s="795"/>
      <c r="D349" s="795"/>
      <c r="E349" s="795" t="s">
        <v>738</v>
      </c>
      <c r="F349" s="795"/>
      <c r="G349" s="795"/>
      <c r="H349" s="795"/>
      <c r="I349" s="795"/>
      <c r="J349" s="795"/>
      <c r="K349" s="795"/>
      <c r="L349" s="795"/>
      <c r="M349" s="795"/>
    </row>
    <row r="350" spans="1:13" x14ac:dyDescent="0.2">
      <c r="A350" s="795"/>
      <c r="B350" s="795"/>
      <c r="C350" s="795"/>
      <c r="D350" s="795"/>
      <c r="E350" s="795" t="s">
        <v>957</v>
      </c>
      <c r="G350" s="795"/>
      <c r="H350" s="795"/>
      <c r="I350" s="795"/>
      <c r="J350" s="795"/>
      <c r="K350" s="795"/>
      <c r="L350" s="795"/>
      <c r="M350" s="795"/>
    </row>
    <row r="351" spans="1:13" x14ac:dyDescent="0.2">
      <c r="A351" s="795"/>
      <c r="B351" s="795"/>
      <c r="C351" s="795"/>
      <c r="D351" s="795"/>
      <c r="E351" s="795" t="s">
        <v>718</v>
      </c>
      <c r="G351" s="795"/>
      <c r="H351" s="795"/>
      <c r="I351" s="795"/>
      <c r="J351" s="795"/>
      <c r="K351" s="795"/>
      <c r="L351" s="795"/>
      <c r="M351" s="795"/>
    </row>
    <row r="352" spans="1:13" x14ac:dyDescent="0.2">
      <c r="A352" s="795"/>
      <c r="B352" s="795"/>
      <c r="C352" s="795"/>
      <c r="D352" s="795"/>
      <c r="E352" s="795" t="s">
        <v>958</v>
      </c>
      <c r="G352" s="795"/>
      <c r="H352" s="795"/>
      <c r="I352" s="795"/>
      <c r="J352" s="795"/>
      <c r="K352" s="795"/>
      <c r="L352" s="795"/>
      <c r="M352" s="795"/>
    </row>
    <row r="353" spans="4:4" x14ac:dyDescent="0.2">
      <c r="D353" s="795"/>
    </row>
    <row r="354" spans="4:4" x14ac:dyDescent="0.2">
      <c r="D354" s="795"/>
    </row>
    <row r="355" spans="4:4" x14ac:dyDescent="0.2">
      <c r="D355" s="795"/>
    </row>
    <row r="356" spans="4:4" x14ac:dyDescent="0.2">
      <c r="D356" s="795"/>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AU218"/>
  <sheetViews>
    <sheetView showGridLines="0" topLeftCell="A28" zoomScaleNormal="100" workbookViewId="0">
      <selection activeCell="H63" sqref="H63"/>
    </sheetView>
  </sheetViews>
  <sheetFormatPr defaultRowHeight="12.75" x14ac:dyDescent="0.2"/>
  <cols>
    <col min="1" max="1" width="3.28515625" style="17" customWidth="1"/>
    <col min="2" max="2" width="39.140625" style="5" bestFit="1" customWidth="1"/>
    <col min="3" max="3" width="36.85546875" style="5" customWidth="1"/>
    <col min="4" max="4" width="32.7109375" style="5" customWidth="1"/>
    <col min="5" max="5" width="37.85546875" style="17" customWidth="1"/>
    <col min="6" max="6" width="24.140625" style="17" customWidth="1"/>
    <col min="7" max="7" width="22.140625" style="17" customWidth="1"/>
    <col min="8" max="8" width="30.42578125" style="17" customWidth="1"/>
    <col min="9" max="9" width="19.140625" style="17" customWidth="1"/>
    <col min="10" max="12" width="22.28515625" style="17" customWidth="1"/>
    <col min="13" max="13" width="25.42578125" style="17" customWidth="1"/>
    <col min="14" max="15" width="20" style="17" customWidth="1"/>
    <col min="16" max="16" width="18.85546875" style="17" customWidth="1"/>
    <col min="17" max="17" width="9.140625" style="17"/>
    <col min="18" max="18" width="14.7109375" style="17" customWidth="1"/>
    <col min="19" max="22" width="9.140625" style="17"/>
    <col min="23" max="16384" width="9.140625" style="5"/>
  </cols>
  <sheetData>
    <row r="1" spans="1:47" ht="13.5" thickBot="1" x14ac:dyDescent="0.25"/>
    <row r="2" spans="1:47" ht="22.5" customHeight="1" thickBot="1" x14ac:dyDescent="0.25">
      <c r="B2" s="2185" t="s">
        <v>1462</v>
      </c>
      <c r="C2" s="2186"/>
      <c r="D2" s="2187"/>
      <c r="F2" s="302"/>
      <c r="W2" s="17"/>
      <c r="X2" s="17"/>
      <c r="Y2" s="17"/>
      <c r="Z2" s="17"/>
      <c r="AA2" s="17"/>
      <c r="AB2" s="17"/>
      <c r="AC2" s="17"/>
      <c r="AD2" s="17"/>
      <c r="AE2" s="17"/>
      <c r="AF2" s="17"/>
      <c r="AG2" s="17"/>
      <c r="AH2" s="17"/>
      <c r="AI2" s="17"/>
      <c r="AJ2" s="17"/>
      <c r="AK2" s="17"/>
      <c r="AL2" s="17"/>
      <c r="AM2" s="17"/>
      <c r="AN2" s="17"/>
      <c r="AO2" s="17"/>
      <c r="AP2" s="17"/>
      <c r="AQ2" s="17"/>
      <c r="AR2" s="17"/>
      <c r="AS2" s="17"/>
      <c r="AT2" s="17"/>
      <c r="AU2" s="17"/>
    </row>
    <row r="3" spans="1:47" x14ac:dyDescent="0.2">
      <c r="B3" s="2188" t="s">
        <v>1463</v>
      </c>
      <c r="C3" s="2188"/>
      <c r="D3" s="2188"/>
      <c r="E3" s="2188"/>
      <c r="F3" s="2188"/>
      <c r="G3" s="2188"/>
      <c r="H3" s="2188"/>
      <c r="I3" s="68"/>
      <c r="W3" s="17"/>
      <c r="X3" s="17"/>
      <c r="Y3" s="17"/>
      <c r="Z3" s="17"/>
      <c r="AA3" s="17"/>
      <c r="AB3" s="17"/>
      <c r="AC3" s="17"/>
      <c r="AD3" s="17"/>
      <c r="AE3" s="17"/>
      <c r="AF3" s="17"/>
      <c r="AG3" s="17"/>
      <c r="AH3" s="17"/>
      <c r="AI3" s="17"/>
      <c r="AJ3" s="17"/>
      <c r="AK3" s="17"/>
      <c r="AL3" s="17"/>
      <c r="AM3" s="17"/>
      <c r="AN3" s="17"/>
      <c r="AO3" s="17"/>
      <c r="AP3" s="17"/>
      <c r="AQ3" s="17"/>
      <c r="AR3" s="17"/>
      <c r="AS3" s="17"/>
      <c r="AT3" s="17"/>
      <c r="AU3" s="17"/>
    </row>
    <row r="4" spans="1:47" ht="13.5" thickBot="1" x14ac:dyDescent="0.25">
      <c r="B4" s="1567"/>
      <c r="C4" s="1567"/>
      <c r="D4" s="1567"/>
      <c r="E4" s="1567"/>
      <c r="F4" s="1567"/>
      <c r="G4" s="1567"/>
      <c r="H4" s="1567"/>
      <c r="I4" s="68"/>
      <c r="W4" s="17"/>
      <c r="X4" s="17"/>
      <c r="Y4" s="17"/>
      <c r="Z4" s="17"/>
      <c r="AA4" s="17"/>
      <c r="AB4" s="17"/>
      <c r="AC4" s="17"/>
      <c r="AD4" s="17"/>
      <c r="AE4" s="17"/>
      <c r="AF4" s="17"/>
      <c r="AG4" s="17"/>
      <c r="AH4" s="17"/>
      <c r="AI4" s="17"/>
      <c r="AJ4" s="17"/>
      <c r="AK4" s="17"/>
      <c r="AL4" s="17"/>
      <c r="AM4" s="17"/>
      <c r="AN4" s="17"/>
      <c r="AO4" s="17"/>
      <c r="AP4" s="17"/>
      <c r="AQ4" s="17"/>
      <c r="AR4" s="17"/>
      <c r="AS4" s="17"/>
      <c r="AT4" s="17"/>
      <c r="AU4" s="17"/>
    </row>
    <row r="5" spans="1:47" ht="13.5" thickBot="1" x14ac:dyDescent="0.25">
      <c r="B5" s="1968" t="s">
        <v>91</v>
      </c>
      <c r="C5" s="2189"/>
      <c r="D5" s="2189"/>
      <c r="E5" s="2190"/>
      <c r="F5" s="75"/>
      <c r="G5" s="75"/>
      <c r="H5" s="75"/>
      <c r="I5" s="68"/>
      <c r="W5" s="17"/>
      <c r="X5" s="17"/>
      <c r="Y5" s="17"/>
      <c r="Z5" s="17"/>
      <c r="AA5" s="17"/>
      <c r="AB5" s="17"/>
      <c r="AC5" s="17"/>
      <c r="AD5" s="17"/>
      <c r="AE5" s="17"/>
      <c r="AF5" s="17"/>
      <c r="AG5" s="17"/>
      <c r="AH5" s="17"/>
      <c r="AI5" s="17"/>
      <c r="AJ5" s="17"/>
      <c r="AK5" s="17"/>
      <c r="AL5" s="17"/>
      <c r="AM5" s="17"/>
      <c r="AN5" s="17"/>
      <c r="AO5" s="17"/>
      <c r="AP5" s="17"/>
      <c r="AQ5" s="17"/>
      <c r="AR5" s="17"/>
      <c r="AS5" s="17"/>
      <c r="AT5" s="17"/>
      <c r="AU5" s="17"/>
    </row>
    <row r="6" spans="1:47" ht="44.25" customHeight="1" thickBot="1" x14ac:dyDescent="0.25">
      <c r="B6" s="2093" t="s">
        <v>1401</v>
      </c>
      <c r="C6" s="2094"/>
      <c r="D6" s="2094"/>
      <c r="E6" s="2095"/>
      <c r="F6" s="75"/>
      <c r="G6" s="75"/>
      <c r="H6" s="75"/>
      <c r="I6" s="68"/>
      <c r="W6" s="17"/>
      <c r="X6" s="17"/>
      <c r="Y6" s="17"/>
      <c r="Z6" s="17"/>
      <c r="AA6" s="17"/>
      <c r="AB6" s="17"/>
      <c r="AC6" s="17"/>
      <c r="AD6" s="17"/>
      <c r="AE6" s="17"/>
      <c r="AF6" s="17"/>
      <c r="AG6" s="17"/>
      <c r="AH6" s="17"/>
      <c r="AI6" s="17"/>
      <c r="AJ6" s="17"/>
      <c r="AK6" s="17"/>
      <c r="AL6" s="17"/>
      <c r="AM6" s="17"/>
      <c r="AN6" s="17"/>
      <c r="AO6" s="17"/>
      <c r="AP6" s="17"/>
      <c r="AQ6" s="17"/>
      <c r="AR6" s="17"/>
      <c r="AS6" s="17"/>
      <c r="AT6" s="17"/>
      <c r="AU6" s="17"/>
    </row>
    <row r="7" spans="1:47" ht="12" customHeight="1" thickBot="1" x14ac:dyDescent="0.25">
      <c r="B7" s="68"/>
      <c r="C7" s="68"/>
      <c r="D7" s="68"/>
      <c r="E7" s="68"/>
      <c r="F7" s="68"/>
      <c r="G7" s="68"/>
      <c r="H7" s="68"/>
      <c r="I7" s="68"/>
      <c r="W7" s="17"/>
      <c r="X7" s="17"/>
      <c r="Y7" s="17"/>
      <c r="Z7" s="17"/>
      <c r="AA7" s="17"/>
      <c r="AB7" s="17"/>
      <c r="AC7" s="17"/>
      <c r="AD7" s="17"/>
      <c r="AE7" s="17"/>
      <c r="AF7" s="17"/>
      <c r="AG7" s="17"/>
      <c r="AH7" s="17"/>
      <c r="AI7" s="17"/>
      <c r="AJ7" s="17"/>
      <c r="AK7" s="17"/>
      <c r="AL7" s="17"/>
      <c r="AM7" s="17"/>
      <c r="AN7" s="17"/>
      <c r="AO7" s="17"/>
      <c r="AP7" s="17"/>
      <c r="AQ7" s="17"/>
      <c r="AR7" s="17"/>
      <c r="AS7" s="17"/>
      <c r="AT7" s="17"/>
      <c r="AU7" s="17"/>
    </row>
    <row r="8" spans="1:47" ht="15.75" customHeight="1" thickBot="1" x14ac:dyDescent="0.25">
      <c r="B8" s="2012" t="s">
        <v>86</v>
      </c>
      <c r="C8" s="2191"/>
      <c r="D8" s="2191"/>
      <c r="E8" s="2191"/>
      <c r="F8" s="2191"/>
      <c r="G8" s="2192"/>
      <c r="H8" s="68"/>
      <c r="W8" s="17"/>
      <c r="X8" s="17"/>
      <c r="Y8" s="17"/>
      <c r="Z8" s="17"/>
      <c r="AA8" s="17"/>
      <c r="AB8" s="17"/>
      <c r="AC8" s="17"/>
      <c r="AD8" s="17"/>
      <c r="AE8" s="17"/>
      <c r="AF8" s="17"/>
      <c r="AG8" s="17"/>
      <c r="AH8" s="17"/>
      <c r="AI8" s="17"/>
      <c r="AJ8" s="17"/>
      <c r="AK8" s="17"/>
      <c r="AL8" s="17"/>
      <c r="AM8" s="17"/>
      <c r="AN8" s="17"/>
      <c r="AO8" s="17"/>
      <c r="AP8" s="17"/>
      <c r="AQ8" s="17"/>
      <c r="AR8" s="17"/>
      <c r="AS8" s="17"/>
      <c r="AT8" s="17"/>
    </row>
    <row r="9" spans="1:47" s="17" customFormat="1" x14ac:dyDescent="0.2">
      <c r="A9" s="40"/>
      <c r="B9" s="109" t="s">
        <v>73</v>
      </c>
      <c r="C9" s="346" t="s">
        <v>298</v>
      </c>
      <c r="D9" s="98" t="s">
        <v>286</v>
      </c>
      <c r="E9" s="353" t="s">
        <v>1534</v>
      </c>
      <c r="F9" s="352" t="s">
        <v>1535</v>
      </c>
      <c r="G9" s="99" t="s">
        <v>5</v>
      </c>
      <c r="H9" s="68"/>
    </row>
    <row r="10" spans="1:47" s="17" customFormat="1" ht="16.5" customHeight="1" x14ac:dyDescent="0.2">
      <c r="A10" s="40"/>
      <c r="B10" s="364" t="s">
        <v>1536</v>
      </c>
      <c r="C10" s="1352">
        <f>'Adjust Inventory Year'!C13</f>
        <v>53.06</v>
      </c>
      <c r="D10" s="1669">
        <f>(C10*D139)*D148</f>
        <v>5.304731866E-3</v>
      </c>
      <c r="E10" s="1668"/>
      <c r="F10" s="1668"/>
      <c r="G10" s="365" t="s">
        <v>72</v>
      </c>
      <c r="H10" s="68"/>
    </row>
    <row r="11" spans="1:47" s="17" customFormat="1" ht="16.5" customHeight="1" x14ac:dyDescent="0.2">
      <c r="A11" s="40"/>
      <c r="B11" s="106" t="s">
        <v>73</v>
      </c>
      <c r="C11" s="352" t="s">
        <v>298</v>
      </c>
      <c r="D11" s="352" t="s">
        <v>71</v>
      </c>
      <c r="E11" s="353" t="s">
        <v>1532</v>
      </c>
      <c r="F11" s="352" t="s">
        <v>1533</v>
      </c>
      <c r="G11" s="108" t="s">
        <v>5</v>
      </c>
    </row>
    <row r="12" spans="1:47" s="17" customFormat="1" ht="16.5" customHeight="1" thickBot="1" x14ac:dyDescent="0.25">
      <c r="A12" s="40"/>
      <c r="B12" s="874" t="s">
        <v>1213</v>
      </c>
      <c r="C12" s="875" t="s">
        <v>1116</v>
      </c>
      <c r="D12" s="1670">
        <f>'Adjust Inventory Year'!D14</f>
        <v>7.3959999999999998E-2</v>
      </c>
      <c r="E12" s="1671">
        <f>'Adjust Inventory Year'!E14</f>
        <v>3.0000000000000001E-6</v>
      </c>
      <c r="F12" s="1671">
        <f>'Adjust Inventory Year'!F14</f>
        <v>5.9999999999999997E-7</v>
      </c>
      <c r="G12" s="1672" t="s">
        <v>30</v>
      </c>
    </row>
    <row r="13" spans="1:47" s="17" customFormat="1" ht="17.25" customHeight="1" thickBot="1" x14ac:dyDescent="0.25">
      <c r="A13" s="40"/>
      <c r="B13" s="2153" t="s">
        <v>1537</v>
      </c>
      <c r="C13" s="2154"/>
      <c r="D13" s="2154"/>
      <c r="E13" s="2155"/>
      <c r="F13" s="68"/>
      <c r="G13" s="68"/>
      <c r="H13" s="68"/>
    </row>
    <row r="14" spans="1:47" s="17" customFormat="1" ht="13.5" thickBot="1" x14ac:dyDescent="0.25">
      <c r="A14" s="40"/>
      <c r="B14" s="40"/>
      <c r="C14" s="40"/>
      <c r="D14" s="40"/>
      <c r="E14" s="40"/>
      <c r="F14" s="40"/>
      <c r="G14" s="68"/>
      <c r="H14" s="68"/>
      <c r="I14" s="68"/>
    </row>
    <row r="15" spans="1:47" s="17" customFormat="1" ht="15.75" thickBot="1" x14ac:dyDescent="0.25">
      <c r="A15" s="40"/>
      <c r="B15" s="2009" t="s">
        <v>1209</v>
      </c>
      <c r="C15" s="2156"/>
      <c r="D15" s="2157"/>
      <c r="E15" s="819"/>
      <c r="F15" s="40"/>
      <c r="G15" s="68"/>
      <c r="H15" s="68"/>
      <c r="I15" s="68"/>
    </row>
    <row r="16" spans="1:47" s="17" customFormat="1" x14ac:dyDescent="0.2">
      <c r="A16" s="40"/>
      <c r="B16" s="88" t="s">
        <v>1210</v>
      </c>
      <c r="C16" s="89" t="s">
        <v>169</v>
      </c>
      <c r="D16" s="90" t="s">
        <v>5</v>
      </c>
      <c r="E16" s="40"/>
      <c r="F16" s="40"/>
      <c r="G16" s="68"/>
      <c r="H16" s="68"/>
      <c r="I16" s="68"/>
    </row>
    <row r="17" spans="1:9" s="17" customFormat="1" ht="27" customHeight="1" x14ac:dyDescent="0.2">
      <c r="A17" s="40"/>
      <c r="B17" s="326" t="s">
        <v>279</v>
      </c>
      <c r="C17" s="1349">
        <v>2.83</v>
      </c>
      <c r="D17" s="327" t="s">
        <v>88</v>
      </c>
      <c r="E17" s="40"/>
      <c r="F17" s="40"/>
      <c r="G17" s="68"/>
      <c r="H17" s="68"/>
      <c r="I17" s="68"/>
    </row>
    <row r="18" spans="1:9" s="17" customFormat="1" ht="27" customHeight="1" x14ac:dyDescent="0.2">
      <c r="A18" s="40"/>
      <c r="B18" s="200" t="s">
        <v>278</v>
      </c>
      <c r="C18" s="1350">
        <v>0.7</v>
      </c>
      <c r="D18" s="328" t="s">
        <v>285</v>
      </c>
      <c r="E18" s="40"/>
      <c r="F18" s="40"/>
      <c r="G18" s="68"/>
      <c r="H18" s="68"/>
      <c r="I18" s="68"/>
    </row>
    <row r="19" spans="1:9" s="17" customFormat="1" ht="27" customHeight="1" x14ac:dyDescent="0.2">
      <c r="A19" s="40"/>
      <c r="B19" s="200" t="s">
        <v>280</v>
      </c>
      <c r="C19" s="1125">
        <f>C17*C18</f>
        <v>1.9809999999999999</v>
      </c>
      <c r="D19" s="329" t="s">
        <v>277</v>
      </c>
      <c r="E19" s="40"/>
      <c r="F19" s="40"/>
      <c r="G19" s="68"/>
      <c r="H19" s="68"/>
      <c r="I19" s="68"/>
    </row>
    <row r="20" spans="1:9" s="17" customFormat="1" ht="27" customHeight="1" x14ac:dyDescent="0.2">
      <c r="A20" s="40"/>
      <c r="B20" s="200" t="s">
        <v>281</v>
      </c>
      <c r="C20" s="1126">
        <f>C19*'Emission Factors'!D139</f>
        <v>1.9810000000000001E-3</v>
      </c>
      <c r="D20" s="329" t="s">
        <v>277</v>
      </c>
      <c r="E20" s="40"/>
      <c r="F20" s="40"/>
      <c r="G20" s="68"/>
      <c r="H20" s="68"/>
      <c r="I20" s="68"/>
    </row>
    <row r="21" spans="1:9" s="17" customFormat="1" ht="27" customHeight="1" x14ac:dyDescent="0.2">
      <c r="A21" s="40"/>
      <c r="B21" s="200" t="s">
        <v>273</v>
      </c>
      <c r="C21" s="1351">
        <v>0.93400000000000005</v>
      </c>
      <c r="D21" s="328" t="s">
        <v>1211</v>
      </c>
      <c r="E21" s="40"/>
      <c r="F21" s="40"/>
      <c r="G21" s="68"/>
      <c r="H21" s="68"/>
      <c r="I21" s="68"/>
    </row>
    <row r="22" spans="1:9" s="17" customFormat="1" ht="27" customHeight="1" x14ac:dyDescent="0.2">
      <c r="A22" s="40"/>
      <c r="B22" s="200" t="s">
        <v>274</v>
      </c>
      <c r="C22" s="1351">
        <v>0.01</v>
      </c>
      <c r="D22" s="328" t="s">
        <v>1211</v>
      </c>
      <c r="E22" s="40"/>
      <c r="F22" s="40"/>
      <c r="G22" s="68"/>
      <c r="H22" s="68"/>
      <c r="I22" s="68"/>
    </row>
    <row r="23" spans="1:9" s="17" customFormat="1" ht="27" customHeight="1" x14ac:dyDescent="0.2">
      <c r="A23" s="40"/>
      <c r="B23" s="200" t="s">
        <v>275</v>
      </c>
      <c r="C23" s="1127">
        <f>C20*C21</f>
        <v>1.8502540000000002E-3</v>
      </c>
      <c r="D23" s="329" t="s">
        <v>277</v>
      </c>
      <c r="E23" s="40"/>
      <c r="F23" s="40"/>
      <c r="G23" s="68"/>
      <c r="H23" s="68"/>
      <c r="I23" s="68"/>
    </row>
    <row r="24" spans="1:9" s="17" customFormat="1" ht="27" customHeight="1" x14ac:dyDescent="0.2">
      <c r="A24" s="40"/>
      <c r="B24" s="399" t="s">
        <v>276</v>
      </c>
      <c r="C24" s="1128">
        <f>C20*C22</f>
        <v>1.9810000000000002E-5</v>
      </c>
      <c r="D24" s="400" t="s">
        <v>277</v>
      </c>
      <c r="E24" s="40"/>
      <c r="F24" s="40"/>
      <c r="G24" s="68"/>
      <c r="H24" s="68"/>
      <c r="I24" s="68"/>
    </row>
    <row r="25" spans="1:9" s="17" customFormat="1" ht="27" customHeight="1" x14ac:dyDescent="0.2">
      <c r="A25" s="40"/>
      <c r="B25" s="73" t="s">
        <v>287</v>
      </c>
      <c r="C25" s="1129">
        <f>C23</f>
        <v>1.8502540000000002E-3</v>
      </c>
      <c r="D25" s="347" t="s">
        <v>277</v>
      </c>
      <c r="E25" s="40"/>
      <c r="F25" s="40"/>
      <c r="G25" s="68"/>
      <c r="H25" s="68"/>
      <c r="I25" s="68"/>
    </row>
    <row r="26" spans="1:9" s="17" customFormat="1" ht="26.25" thickBot="1" x14ac:dyDescent="0.25">
      <c r="A26" s="40"/>
      <c r="B26" s="1646" t="s">
        <v>288</v>
      </c>
      <c r="C26" s="1130">
        <f>C24</f>
        <v>1.9810000000000002E-5</v>
      </c>
      <c r="D26" s="330" t="s">
        <v>277</v>
      </c>
      <c r="E26" s="40"/>
      <c r="F26" s="40"/>
      <c r="G26" s="68"/>
      <c r="H26" s="68"/>
      <c r="I26" s="68"/>
    </row>
    <row r="27" spans="1:9" s="17" customFormat="1" ht="13.5" thickBot="1" x14ac:dyDescent="0.25">
      <c r="A27" s="40"/>
      <c r="B27" s="40"/>
      <c r="C27" s="40"/>
      <c r="D27" s="40"/>
      <c r="E27" s="40"/>
      <c r="F27" s="40"/>
      <c r="G27" s="68"/>
      <c r="H27" s="68"/>
      <c r="I27" s="68"/>
    </row>
    <row r="28" spans="1:9" s="17" customFormat="1" ht="14.25" thickBot="1" x14ac:dyDescent="0.3">
      <c r="A28"/>
      <c r="B28" s="2184" t="s">
        <v>1117</v>
      </c>
      <c r="C28" s="2010"/>
      <c r="D28" s="2010"/>
      <c r="E28" s="2011"/>
      <c r="F28" s="40"/>
      <c r="G28" s="68"/>
      <c r="H28" s="68"/>
      <c r="I28" s="68"/>
    </row>
    <row r="29" spans="1:9" s="17" customFormat="1" ht="38.25" x14ac:dyDescent="0.2">
      <c r="A29" s="40"/>
      <c r="B29" s="2196" t="s">
        <v>453</v>
      </c>
      <c r="C29" s="2197"/>
      <c r="D29" s="586" t="s">
        <v>1596</v>
      </c>
      <c r="E29" s="587" t="s">
        <v>403</v>
      </c>
      <c r="F29" s="40"/>
      <c r="G29" s="68"/>
      <c r="H29" s="68"/>
      <c r="I29" s="68"/>
    </row>
    <row r="30" spans="1:9" s="17" customFormat="1" x14ac:dyDescent="0.2">
      <c r="A30" s="40"/>
      <c r="B30" s="2198" t="s">
        <v>400</v>
      </c>
      <c r="C30" s="2199"/>
      <c r="D30" s="1353">
        <f>'Adjust Inventory Year'!C19</f>
        <v>670</v>
      </c>
      <c r="E30" s="1760">
        <f>(D30/D33)*E33</f>
        <v>576.77693604692581</v>
      </c>
      <c r="F30" s="40"/>
      <c r="G30" s="68"/>
      <c r="H30" s="68"/>
      <c r="I30" s="68"/>
    </row>
    <row r="31" spans="1:9" s="17" customFormat="1" x14ac:dyDescent="0.2">
      <c r="A31" s="40"/>
      <c r="B31" s="2202" t="s">
        <v>401</v>
      </c>
      <c r="C31" s="2203"/>
      <c r="D31" s="1353">
        <f>'Adjust Inventory Year'!C20</f>
        <v>5.8000000000000003E-2</v>
      </c>
      <c r="E31" s="1761">
        <f>(D31/D33)*E33</f>
        <v>4.9929943717495075E-2</v>
      </c>
      <c r="F31" s="40"/>
      <c r="G31" s="68"/>
      <c r="H31" s="68"/>
      <c r="I31" s="68"/>
    </row>
    <row r="32" spans="1:9" s="17" customFormat="1" x14ac:dyDescent="0.2">
      <c r="A32" s="40"/>
      <c r="B32" s="2202" t="s">
        <v>402</v>
      </c>
      <c r="C32" s="2203"/>
      <c r="D32" s="1353">
        <f>'Adjust Inventory Year'!C21</f>
        <v>8.0000000000000002E-3</v>
      </c>
      <c r="E32" s="1761">
        <f>(D32/D33)*E33</f>
        <v>6.8868887886200094E-3</v>
      </c>
      <c r="F32" s="40"/>
      <c r="G32" s="68"/>
      <c r="H32" s="68"/>
      <c r="I32" s="68"/>
    </row>
    <row r="33" spans="1:13" s="17" customFormat="1" ht="13.5" thickBot="1" x14ac:dyDescent="0.25">
      <c r="A33" s="40"/>
      <c r="B33" s="2204" t="s">
        <v>452</v>
      </c>
      <c r="C33" s="2205"/>
      <c r="D33" s="592">
        <f>(D30)+(D31*$B$126)+(D32*$C$126)</f>
        <v>673.74400000000003</v>
      </c>
      <c r="E33" s="1762">
        <f>'Adjust Inventory Year'!D22</f>
        <v>580</v>
      </c>
      <c r="F33" s="40"/>
      <c r="G33" s="68"/>
      <c r="H33" s="68"/>
      <c r="I33" s="68"/>
    </row>
    <row r="34" spans="1:13" s="17" customFormat="1" ht="52.5" customHeight="1" x14ac:dyDescent="0.2">
      <c r="A34" s="40"/>
      <c r="B34" s="2166" t="s">
        <v>1605</v>
      </c>
      <c r="C34" s="2207"/>
      <c r="D34" s="2207"/>
      <c r="E34" s="2207"/>
      <c r="F34" s="686" t="s">
        <v>1552</v>
      </c>
      <c r="G34" s="68"/>
      <c r="H34" s="68"/>
      <c r="I34" s="68"/>
    </row>
    <row r="35" spans="1:13" s="17" customFormat="1" ht="13.5" thickBot="1" x14ac:dyDescent="0.25">
      <c r="A35" s="40"/>
      <c r="B35" s="40"/>
      <c r="C35" s="40"/>
      <c r="D35" s="40"/>
      <c r="E35" s="40"/>
      <c r="F35" s="40"/>
      <c r="G35" s="68"/>
      <c r="H35" s="68"/>
      <c r="I35" s="68"/>
    </row>
    <row r="36" spans="1:13" s="17" customFormat="1" ht="14.25" customHeight="1" thickBot="1" x14ac:dyDescent="0.3">
      <c r="A36" s="40"/>
      <c r="B36" s="2200" t="s">
        <v>1118</v>
      </c>
      <c r="C36" s="2201"/>
      <c r="D36" s="2201"/>
      <c r="E36" s="2201"/>
      <c r="F36" s="2201"/>
      <c r="G36" s="2201"/>
      <c r="H36" s="2201"/>
      <c r="I36" s="2201"/>
      <c r="J36" s="2201"/>
      <c r="K36" s="2206"/>
      <c r="L36" s="1926"/>
      <c r="M36" s="1926"/>
    </row>
    <row r="37" spans="1:13" s="17" customFormat="1" ht="39" thickBot="1" x14ac:dyDescent="0.25">
      <c r="A37" s="40"/>
      <c r="B37" s="106" t="s">
        <v>392</v>
      </c>
      <c r="C37" s="586" t="s">
        <v>404</v>
      </c>
      <c r="D37" s="586" t="s">
        <v>1678</v>
      </c>
      <c r="E37" s="586" t="s">
        <v>406</v>
      </c>
      <c r="F37" s="586" t="s">
        <v>394</v>
      </c>
      <c r="G37" s="586" t="s">
        <v>457</v>
      </c>
      <c r="H37" s="586" t="s">
        <v>458</v>
      </c>
      <c r="I37" s="587" t="s">
        <v>459</v>
      </c>
      <c r="J37" s="587" t="s">
        <v>1460</v>
      </c>
      <c r="K37" s="1910" t="s">
        <v>1679</v>
      </c>
    </row>
    <row r="38" spans="1:13" s="17" customFormat="1" ht="13.5" thickBot="1" x14ac:dyDescent="0.25">
      <c r="A38" s="40"/>
      <c r="B38" s="591" t="s">
        <v>455</v>
      </c>
      <c r="C38" s="1907">
        <f>$E$30</f>
        <v>576.77693604692581</v>
      </c>
      <c r="D38" s="583">
        <f>$E$31</f>
        <v>4.9929943717495075E-2</v>
      </c>
      <c r="E38" s="590">
        <f>$E$32</f>
        <v>6.8868887886200094E-3</v>
      </c>
      <c r="F38" s="827">
        <f>VLOOKUP(Inputs!$C$20,B47:C52,2,FALSE)</f>
        <v>0.14299999999999999</v>
      </c>
      <c r="G38" s="830">
        <f>IFERROR(D38*(1-F38),0)/$D$141*$D$143</f>
        <v>1.9409184337315063E-8</v>
      </c>
      <c r="H38" s="831">
        <f>IFERROR(C38*(1-F38),0)/$D$141*$D$143</f>
        <v>2.2420954320691538E-4</v>
      </c>
      <c r="I38" s="832">
        <f>IFERROR(E38*(1-F38),0)/$D$141*$D$143</f>
        <v>2.6771288741124223E-9</v>
      </c>
      <c r="J38" s="832">
        <f>(H38)+(G38*$B$126)+(I38*$C$126)</f>
        <v>2.2546243952000002E-4</v>
      </c>
      <c r="K38" s="1911">
        <f>(J38*$D$141)/$D$143</f>
        <v>497.06000000000006</v>
      </c>
    </row>
    <row r="39" spans="1:13" s="17" customFormat="1" ht="33.75" customHeight="1" x14ac:dyDescent="0.2">
      <c r="A39" s="40"/>
      <c r="B39" s="2166" t="s">
        <v>1124</v>
      </c>
      <c r="C39" s="2167"/>
      <c r="D39" s="2167"/>
      <c r="E39" s="2168"/>
      <c r="F39" s="825"/>
      <c r="G39" s="825"/>
      <c r="H39" s="825"/>
    </row>
    <row r="40" spans="1:13" s="17" customFormat="1" ht="13.5" thickBot="1" x14ac:dyDescent="0.25">
      <c r="A40" s="40"/>
      <c r="G40" s="68"/>
    </row>
    <row r="41" spans="1:13" s="17" customFormat="1" ht="14.25" customHeight="1" thickBot="1" x14ac:dyDescent="0.3">
      <c r="A41" s="40"/>
      <c r="B41" s="2200" t="s">
        <v>1119</v>
      </c>
      <c r="C41" s="2201"/>
      <c r="D41" s="2201"/>
      <c r="E41" s="2201"/>
      <c r="F41" s="2201"/>
      <c r="G41" s="2201"/>
      <c r="H41" s="2201"/>
      <c r="I41" s="2201"/>
      <c r="J41" s="1905"/>
      <c r="K41" s="792"/>
    </row>
    <row r="42" spans="1:13" s="17" customFormat="1" ht="38.25" x14ac:dyDescent="0.2">
      <c r="A42" s="40"/>
      <c r="B42" s="106" t="s">
        <v>392</v>
      </c>
      <c r="C42" s="586" t="s">
        <v>1218</v>
      </c>
      <c r="D42" s="586" t="s">
        <v>1217</v>
      </c>
      <c r="E42" s="586" t="s">
        <v>1219</v>
      </c>
      <c r="F42" s="586" t="s">
        <v>394</v>
      </c>
      <c r="G42" s="586" t="s">
        <v>457</v>
      </c>
      <c r="H42" s="586" t="s">
        <v>458</v>
      </c>
      <c r="I42" s="587" t="s">
        <v>459</v>
      </c>
    </row>
    <row r="43" spans="1:13" s="17" customFormat="1" ht="13.5" thickBot="1" x14ac:dyDescent="0.25">
      <c r="A43" s="40"/>
      <c r="B43" s="591" t="s">
        <v>1115</v>
      </c>
      <c r="C43" s="1907">
        <f>$E$30</f>
        <v>576.77693604692581</v>
      </c>
      <c r="D43" s="583">
        <f>$E$31</f>
        <v>4.9929943717495075E-2</v>
      </c>
      <c r="E43" s="590">
        <f>$E$32</f>
        <v>6.8868887886200094E-3</v>
      </c>
      <c r="F43" s="827">
        <f>AVERAGE(C48:C50)</f>
        <v>0.14166666666666669</v>
      </c>
      <c r="G43" s="830">
        <f>IFERROR(D43*(1-F43),0)/$D$141*$D$143</f>
        <v>1.9439381434689336E-8</v>
      </c>
      <c r="H43" s="831">
        <f>IFERROR(C43*(1-F43),0)/$D$141*$D$143</f>
        <v>2.2455837174554922E-4</v>
      </c>
      <c r="I43" s="832">
        <f>IFERROR(E43*(1-F43),0)/$D$141*$D$143</f>
        <v>2.681293990991633E-9</v>
      </c>
    </row>
    <row r="44" spans="1:13" s="17" customFormat="1" ht="29.25" customHeight="1" x14ac:dyDescent="0.2">
      <c r="A44" s="40"/>
      <c r="B44" s="2166" t="s">
        <v>1125</v>
      </c>
      <c r="C44" s="2167"/>
      <c r="D44" s="2167"/>
      <c r="E44" s="2168"/>
      <c r="F44" s="825"/>
      <c r="G44" s="825"/>
      <c r="H44" s="825"/>
    </row>
    <row r="45" spans="1:13" s="17" customFormat="1" ht="13.5" thickBot="1" x14ac:dyDescent="0.25">
      <c r="A45" s="40"/>
      <c r="G45" s="68"/>
    </row>
    <row r="46" spans="1:13" s="17" customFormat="1" ht="13.5" x14ac:dyDescent="0.25">
      <c r="A46" s="40"/>
      <c r="B46" s="2176" t="s">
        <v>1120</v>
      </c>
      <c r="C46" s="2177"/>
      <c r="G46" s="68"/>
    </row>
    <row r="47" spans="1:13" s="17" customFormat="1" ht="26.25" thickBot="1" x14ac:dyDescent="0.25">
      <c r="A47" s="40"/>
      <c r="B47" s="588" t="s">
        <v>451</v>
      </c>
      <c r="C47" s="589" t="s">
        <v>394</v>
      </c>
      <c r="G47" s="68"/>
    </row>
    <row r="48" spans="1:13" s="17" customFormat="1" x14ac:dyDescent="0.2">
      <c r="A48" s="40"/>
      <c r="B48" s="828" t="s">
        <v>1606</v>
      </c>
      <c r="C48" s="1354">
        <f>'Adjust Inventory Year'!E27</f>
        <v>0.14299999999999999</v>
      </c>
      <c r="G48" s="68"/>
    </row>
    <row r="49" spans="1:16" s="17" customFormat="1" x14ac:dyDescent="0.2">
      <c r="A49" s="40"/>
      <c r="B49" s="1767" t="s">
        <v>1607</v>
      </c>
      <c r="C49" s="1768">
        <f>'Adjust Inventory Year'!E28</f>
        <v>0.124</v>
      </c>
      <c r="G49" s="68"/>
    </row>
    <row r="50" spans="1:16" s="17" customFormat="1" x14ac:dyDescent="0.2">
      <c r="A50" s="40"/>
      <c r="B50" s="1622" t="s">
        <v>412</v>
      </c>
      <c r="C50" s="1623">
        <f>'Adjust Inventory Year'!E29</f>
        <v>0.158</v>
      </c>
      <c r="G50" s="68"/>
    </row>
    <row r="51" spans="1:16" s="17" customFormat="1" x14ac:dyDescent="0.2">
      <c r="A51" s="40"/>
      <c r="B51" s="1622" t="s">
        <v>1608</v>
      </c>
      <c r="C51" s="1623">
        <f>(C48*Inputs!C26)+('Emission Factors'!C49*Inputs!C27)</f>
        <v>0.14299999999999999</v>
      </c>
      <c r="G51" s="68"/>
    </row>
    <row r="52" spans="1:16" s="17" customFormat="1" ht="13.5" thickBot="1" x14ac:dyDescent="0.25">
      <c r="A52" s="40"/>
      <c r="B52" s="829" t="s">
        <v>1609</v>
      </c>
      <c r="C52" s="1355">
        <f>(C49*Inputs!C26)+('Emission Factors'!C50*Inputs!C27)</f>
        <v>0.124</v>
      </c>
      <c r="G52" s="68"/>
    </row>
    <row r="53" spans="1:16" s="17" customFormat="1" ht="87.75" customHeight="1" thickBot="1" x14ac:dyDescent="0.25">
      <c r="A53" s="40"/>
      <c r="B53" s="2169" t="s">
        <v>1557</v>
      </c>
      <c r="C53" s="2170"/>
      <c r="D53" s="826" t="s">
        <v>1552</v>
      </c>
      <c r="E53" s="68"/>
      <c r="G53" s="68"/>
    </row>
    <row r="54" spans="1:16" s="17" customFormat="1" ht="13.5" thickBot="1" x14ac:dyDescent="0.25">
      <c r="A54" s="40"/>
      <c r="G54" s="68"/>
    </row>
    <row r="55" spans="1:16" s="17" customFormat="1" ht="15.75" customHeight="1" thickBot="1" x14ac:dyDescent="0.3">
      <c r="A55" s="40"/>
      <c r="B55" s="2200" t="s">
        <v>1121</v>
      </c>
      <c r="C55" s="2201"/>
      <c r="D55" s="2201"/>
      <c r="E55" s="2201"/>
      <c r="F55" s="2201"/>
      <c r="G55" s="2201"/>
      <c r="H55" s="2201"/>
      <c r="I55" s="2201"/>
      <c r="J55" s="2201"/>
      <c r="K55" s="2201"/>
      <c r="L55" s="2201"/>
      <c r="M55" s="2201"/>
      <c r="N55" s="2201"/>
      <c r="O55" s="2201"/>
      <c r="P55" s="2206"/>
    </row>
    <row r="56" spans="1:16" s="17" customFormat="1" ht="51" x14ac:dyDescent="0.2">
      <c r="A56" s="40"/>
      <c r="B56" s="106" t="s">
        <v>392</v>
      </c>
      <c r="C56" s="107" t="s">
        <v>395</v>
      </c>
      <c r="D56" s="585" t="s">
        <v>1218</v>
      </c>
      <c r="E56" s="586" t="s">
        <v>1217</v>
      </c>
      <c r="F56" s="587" t="s">
        <v>1219</v>
      </c>
      <c r="G56" s="585" t="s">
        <v>399</v>
      </c>
      <c r="H56" s="586" t="s">
        <v>393</v>
      </c>
      <c r="I56" s="587" t="s">
        <v>407</v>
      </c>
      <c r="J56" s="1912" t="s">
        <v>564</v>
      </c>
      <c r="K56" s="587" t="s">
        <v>565</v>
      </c>
      <c r="L56" s="1137" t="s">
        <v>457</v>
      </c>
      <c r="M56" s="586" t="s">
        <v>568</v>
      </c>
      <c r="N56" s="1590" t="s">
        <v>569</v>
      </c>
      <c r="O56" s="1918" t="s">
        <v>1460</v>
      </c>
      <c r="P56" s="1919" t="s">
        <v>1679</v>
      </c>
    </row>
    <row r="57" spans="1:16" s="17" customFormat="1" x14ac:dyDescent="0.2">
      <c r="A57" s="40"/>
      <c r="B57" s="840" t="s">
        <v>408</v>
      </c>
      <c r="C57" s="1131">
        <f>Inputs!C46</f>
        <v>0</v>
      </c>
      <c r="D57" s="1908" t="str">
        <f>IF(C57="Yes",$E$30,"N/A")</f>
        <v>N/A</v>
      </c>
      <c r="E57" s="841" t="str">
        <f>IF(C57="Yes",$E$31,"N/A")</f>
        <v>N/A</v>
      </c>
      <c r="F57" s="842" t="str">
        <f>IF(C57="Yes",$E$32,"N/A")</f>
        <v>N/A</v>
      </c>
      <c r="G57" s="1930" t="str">
        <f>IF(C57="Yes",'Adjust Inventory Year'!$C$74,"N/A")</f>
        <v>N/A</v>
      </c>
      <c r="H57" s="1134">
        <f>Inputs!E46</f>
        <v>0</v>
      </c>
      <c r="I57" s="843">
        <f>IF(SUM(G57:H57)&gt;1,1,SUM(G57:H57))</f>
        <v>0</v>
      </c>
      <c r="J57" s="1141" t="e">
        <f>Inputs!D46/Inputs!$D$50</f>
        <v>#DIV/0!</v>
      </c>
      <c r="K57" s="1142" t="e">
        <f>Inputs!D51/Inputs!$D$55</f>
        <v>#DIV/0!</v>
      </c>
      <c r="L57" s="1138">
        <f>IFERROR(E57*(1-I57),0)/$D$141*$D$143</f>
        <v>0</v>
      </c>
      <c r="M57" s="844">
        <f>IFERROR(D57*(1-I57),0)/$D$141*$D$143</f>
        <v>0</v>
      </c>
      <c r="N57" s="1913">
        <f>IFERROR(F57*(1-I57),0)/$D$141*$D$143</f>
        <v>0</v>
      </c>
      <c r="O57" s="1916">
        <f>(M57)+(L57*$B$126)+(N57*$C$126)</f>
        <v>0</v>
      </c>
      <c r="P57" s="1917">
        <f>(O57*$D$141)/$D$143</f>
        <v>0</v>
      </c>
    </row>
    <row r="58" spans="1:16" s="17" customFormat="1" x14ac:dyDescent="0.2">
      <c r="A58" s="40"/>
      <c r="B58" s="619" t="s">
        <v>409</v>
      </c>
      <c r="C58" s="1132">
        <f>Inputs!C47</f>
        <v>0</v>
      </c>
      <c r="D58" s="1909" t="str">
        <f t="shared" ref="D58:D60" si="0">IF(C58="Yes",$E$30,"N/A")</f>
        <v>N/A</v>
      </c>
      <c r="E58" s="845" t="str">
        <f>IF(C58="Yes",$E$31,"N/A")</f>
        <v>N/A</v>
      </c>
      <c r="F58" s="846" t="str">
        <f>IF(C58="Yes",$E$32,"N/A")</f>
        <v>N/A</v>
      </c>
      <c r="G58" s="1931" t="str">
        <f>IF(C58="Yes",'Adjust Inventory Year'!$C$74,"N/A")</f>
        <v>N/A</v>
      </c>
      <c r="H58" s="1135">
        <f>Inputs!E47</f>
        <v>0</v>
      </c>
      <c r="I58" s="847">
        <f t="shared" ref="I58:I59" si="1">IF(SUM(G58:H58)&gt;1,1,SUM(G58:H58))</f>
        <v>0</v>
      </c>
      <c r="J58" s="1143" t="e">
        <f>Inputs!D47/Inputs!$D$50</f>
        <v>#DIV/0!</v>
      </c>
      <c r="K58" s="1144" t="e">
        <f>Inputs!D52/Inputs!$D$55</f>
        <v>#DIV/0!</v>
      </c>
      <c r="L58" s="1139">
        <f>IFERROR(E58*(1-I58),0)/$D$141*$D$143</f>
        <v>0</v>
      </c>
      <c r="M58" s="848">
        <f>IFERROR(D58*(1-I58),0)/$D$141*$D$143</f>
        <v>0</v>
      </c>
      <c r="N58" s="1914">
        <f t="shared" ref="N58:N60" si="2">IFERROR(F58*(1-I58),0)/$D$141*$D$143</f>
        <v>0</v>
      </c>
      <c r="O58" s="1916">
        <f t="shared" ref="O58:O60" si="3">(M58)+(L58*$B$126)+(N58*$C$126)</f>
        <v>0</v>
      </c>
      <c r="P58" s="1917">
        <f t="shared" ref="P58:P62" si="4">(O58*$D$141)/$D$143</f>
        <v>0</v>
      </c>
    </row>
    <row r="59" spans="1:16" s="17" customFormat="1" x14ac:dyDescent="0.2">
      <c r="A59" s="40"/>
      <c r="B59" s="619" t="s">
        <v>410</v>
      </c>
      <c r="C59" s="1132">
        <f>Inputs!C48</f>
        <v>0</v>
      </c>
      <c r="D59" s="1909" t="str">
        <f t="shared" si="0"/>
        <v>N/A</v>
      </c>
      <c r="E59" s="845" t="str">
        <f>IF(C59="Yes",$E$31,"N/A")</f>
        <v>N/A</v>
      </c>
      <c r="F59" s="846" t="str">
        <f>IF(C59="Yes",$E$32,"N/A")</f>
        <v>N/A</v>
      </c>
      <c r="G59" s="1931" t="str">
        <f>IF(C59="Yes",'Adjust Inventory Year'!$C$74,"N/A")</f>
        <v>N/A</v>
      </c>
      <c r="H59" s="1135">
        <f>Inputs!E48</f>
        <v>0</v>
      </c>
      <c r="I59" s="847">
        <f t="shared" si="1"/>
        <v>0</v>
      </c>
      <c r="J59" s="1143" t="e">
        <f>Inputs!D48/Inputs!$D$50</f>
        <v>#DIV/0!</v>
      </c>
      <c r="K59" s="1144" t="e">
        <f>Inputs!D53/Inputs!$D$55</f>
        <v>#DIV/0!</v>
      </c>
      <c r="L59" s="1139">
        <f>IFERROR(E59*(1-I59),0)/$D$141*$D$143</f>
        <v>0</v>
      </c>
      <c r="M59" s="848">
        <f>IFERROR(D59*(1-I59),0)/$D$141*$D$143</f>
        <v>0</v>
      </c>
      <c r="N59" s="1914">
        <f t="shared" si="2"/>
        <v>0</v>
      </c>
      <c r="O59" s="1916">
        <f t="shared" si="3"/>
        <v>0</v>
      </c>
      <c r="P59" s="1917">
        <f t="shared" si="4"/>
        <v>0</v>
      </c>
    </row>
    <row r="60" spans="1:16" s="17" customFormat="1" x14ac:dyDescent="0.2">
      <c r="A60" s="40"/>
      <c r="B60" s="849" t="s">
        <v>411</v>
      </c>
      <c r="C60" s="1133">
        <f>Inputs!C49</f>
        <v>0</v>
      </c>
      <c r="D60" s="849" t="str">
        <f t="shared" si="0"/>
        <v>N/A</v>
      </c>
      <c r="E60" s="850" t="str">
        <f>IF(C60="Yes",$E$31,"N/A")</f>
        <v>N/A</v>
      </c>
      <c r="F60" s="851" t="str">
        <f>IF(C60="Yes",$E$32,"N/A")</f>
        <v>N/A</v>
      </c>
      <c r="G60" s="852" t="str">
        <f>IF(C60="Yes",'Adjust Inventory Year'!$C$74,"N/A")</f>
        <v>N/A</v>
      </c>
      <c r="H60" s="1136">
        <f>Inputs!E49</f>
        <v>0</v>
      </c>
      <c r="I60" s="853">
        <f>IF(SUM(G60:H60)&gt;1,1,SUM(G60:H60))</f>
        <v>0</v>
      </c>
      <c r="J60" s="1145" t="e">
        <f>Inputs!D49/Inputs!$D$50</f>
        <v>#DIV/0!</v>
      </c>
      <c r="K60" s="1146" t="e">
        <f>Inputs!D54/Inputs!$D$55</f>
        <v>#DIV/0!</v>
      </c>
      <c r="L60" s="1140">
        <f>IFERROR(E60*(1-I60),0)/$D$141*$D$143</f>
        <v>0</v>
      </c>
      <c r="M60" s="854">
        <f>IFERROR(D60*(1-I60),0)/$D$141*$D$143</f>
        <v>0</v>
      </c>
      <c r="N60" s="1915">
        <f t="shared" si="2"/>
        <v>0</v>
      </c>
      <c r="O60" s="1920">
        <f t="shared" si="3"/>
        <v>0</v>
      </c>
      <c r="P60" s="1921">
        <f t="shared" si="4"/>
        <v>0</v>
      </c>
    </row>
    <row r="61" spans="1:16" s="17" customFormat="1" x14ac:dyDescent="0.2">
      <c r="A61" s="40"/>
      <c r="B61" s="2160" t="s">
        <v>566</v>
      </c>
      <c r="C61" s="2161"/>
      <c r="D61" s="2161"/>
      <c r="E61" s="2161"/>
      <c r="F61" s="2161"/>
      <c r="G61" s="2161"/>
      <c r="H61" s="2161"/>
      <c r="I61" s="2161"/>
      <c r="J61" s="2161"/>
      <c r="K61" s="2162"/>
      <c r="L61" s="833" t="e">
        <f>(L57*J57)+(L58*J58)+(L59*J59)+(J60*L60)</f>
        <v>#DIV/0!</v>
      </c>
      <c r="M61" s="834" t="e">
        <f>(M57*J57)+(M58*J58)+(M59*J59)*(M60*J60)</f>
        <v>#DIV/0!</v>
      </c>
      <c r="N61" s="835" t="e">
        <f>(N57*J57)+(N58*J58)+(N59*J59)+(N60*J60)</f>
        <v>#DIV/0!</v>
      </c>
      <c r="O61" s="1922" t="e">
        <f t="shared" ref="O61:O62" si="5">(M61)+(L61*$B$126)+(N61*$C$126)</f>
        <v>#DIV/0!</v>
      </c>
      <c r="P61" s="1923" t="e">
        <f t="shared" si="4"/>
        <v>#DIV/0!</v>
      </c>
    </row>
    <row r="62" spans="1:16" s="17" customFormat="1" ht="13.5" thickBot="1" x14ac:dyDescent="0.25">
      <c r="A62" s="40"/>
      <c r="B62" s="2163" t="s">
        <v>567</v>
      </c>
      <c r="C62" s="2164"/>
      <c r="D62" s="2164"/>
      <c r="E62" s="2164"/>
      <c r="F62" s="2164"/>
      <c r="G62" s="2164"/>
      <c r="H62" s="2164"/>
      <c r="I62" s="2164"/>
      <c r="J62" s="2164"/>
      <c r="K62" s="2165"/>
      <c r="L62" s="836" t="e">
        <f>(L57*K57)+(L58*K58)+(L59*K59)+(K60*L60)</f>
        <v>#DIV/0!</v>
      </c>
      <c r="M62" s="837" t="e">
        <f>(M57*K57)+(M58*K58)+(M59*K59)*(M60*K60)</f>
        <v>#DIV/0!</v>
      </c>
      <c r="N62" s="838" t="e">
        <f>(N57*K57)+(N58*K58)+(N59*K59)+(N60*K60)</f>
        <v>#DIV/0!</v>
      </c>
      <c r="O62" s="1924" t="e">
        <f t="shared" si="5"/>
        <v>#DIV/0!</v>
      </c>
      <c r="P62" s="1925" t="e">
        <f t="shared" si="4"/>
        <v>#DIV/0!</v>
      </c>
    </row>
    <row r="63" spans="1:16" s="17" customFormat="1" ht="44.25" customHeight="1" x14ac:dyDescent="0.2">
      <c r="A63" s="40"/>
      <c r="B63" s="2194" t="s">
        <v>1613</v>
      </c>
      <c r="C63" s="2195"/>
      <c r="D63" s="2195"/>
      <c r="E63" s="2195"/>
      <c r="F63" s="686" t="s">
        <v>1552</v>
      </c>
      <c r="G63" s="825"/>
      <c r="J63" s="671"/>
    </row>
    <row r="64" spans="1:16" s="17" customFormat="1" ht="56.25" customHeight="1" thickBot="1" x14ac:dyDescent="0.25">
      <c r="A64" s="40"/>
      <c r="B64" s="2171" t="s">
        <v>1212</v>
      </c>
      <c r="C64" s="2172"/>
      <c r="D64" s="2172"/>
      <c r="E64" s="2173"/>
      <c r="F64" s="79" t="s">
        <v>1558</v>
      </c>
      <c r="G64" s="825"/>
    </row>
    <row r="65" spans="1:13" s="17" customFormat="1" ht="13.5" thickBot="1" x14ac:dyDescent="0.25">
      <c r="A65" s="40"/>
      <c r="G65" s="68"/>
    </row>
    <row r="66" spans="1:13" s="17" customFormat="1" ht="16.5" customHeight="1" thickBot="1" x14ac:dyDescent="0.3">
      <c r="A66" s="40"/>
      <c r="B66" s="2200" t="s">
        <v>1122</v>
      </c>
      <c r="C66" s="2201"/>
      <c r="D66" s="2201"/>
      <c r="E66" s="2201"/>
      <c r="F66" s="2201"/>
      <c r="G66" s="2201"/>
      <c r="H66" s="2201"/>
      <c r="I66" s="2201"/>
      <c r="J66" s="2201"/>
      <c r="K66" s="2201"/>
      <c r="L66" s="2201"/>
      <c r="M66" s="2206"/>
    </row>
    <row r="67" spans="1:13" s="17" customFormat="1" ht="39" thickBot="1" x14ac:dyDescent="0.25">
      <c r="A67" s="40"/>
      <c r="B67" s="106" t="s">
        <v>392</v>
      </c>
      <c r="C67" s="586" t="s">
        <v>404</v>
      </c>
      <c r="D67" s="586" t="s">
        <v>405</v>
      </c>
      <c r="E67" s="586" t="s">
        <v>406</v>
      </c>
      <c r="F67" s="586" t="s">
        <v>394</v>
      </c>
      <c r="G67" s="586" t="s">
        <v>393</v>
      </c>
      <c r="H67" s="586" t="s">
        <v>407</v>
      </c>
      <c r="I67" s="586" t="s">
        <v>457</v>
      </c>
      <c r="J67" s="586" t="s">
        <v>458</v>
      </c>
      <c r="K67" s="1590" t="s">
        <v>459</v>
      </c>
      <c r="L67" s="586" t="s">
        <v>1460</v>
      </c>
      <c r="M67" s="1910" t="s">
        <v>1679</v>
      </c>
    </row>
    <row r="68" spans="1:13" s="17" customFormat="1" ht="13.5" thickBot="1" x14ac:dyDescent="0.25">
      <c r="A68" s="40"/>
      <c r="B68" s="591" t="s">
        <v>456</v>
      </c>
      <c r="C68" s="1907">
        <f>$E$30</f>
        <v>576.77693604692581</v>
      </c>
      <c r="D68" s="583">
        <f>$E$31</f>
        <v>4.9929943717495075E-2</v>
      </c>
      <c r="E68" s="590">
        <f>$E$32</f>
        <v>6.8868887886200094E-3</v>
      </c>
      <c r="F68" s="1147" t="str">
        <f>VLOOKUP(Inputs!C21,'Emission Factors'!B74:C115,2,FALSE)</f>
        <v>N/A</v>
      </c>
      <c r="G68" s="584">
        <v>0</v>
      </c>
      <c r="H68" s="584">
        <f>IF(SUM(F68:G68)&gt;1,1,SUM(F68:G68))</f>
        <v>0</v>
      </c>
      <c r="I68" s="830">
        <f>IFERROR(D68*(1-H68),0)/$D$141*$D$143</f>
        <v>2.2647823030706028E-8</v>
      </c>
      <c r="J68" s="831">
        <f>IFERROR(C68*(1-H68),0)/$D$141*$D$143</f>
        <v>2.6162140397539716E-4</v>
      </c>
      <c r="K68" s="839">
        <f>IFERROR(E68*(1-H68),0)/$D$141*$D$143</f>
        <v>3.1238376594077273E-9</v>
      </c>
      <c r="L68" s="832">
        <f>(J68)+(I68*$B$126)+(K68*$C$126)</f>
        <v>2.6308335999999997E-4</v>
      </c>
      <c r="M68" s="1911">
        <f>(L68*$D$141)/$D$143</f>
        <v>580</v>
      </c>
    </row>
    <row r="69" spans="1:13" s="17" customFormat="1" ht="45.75" customHeight="1" x14ac:dyDescent="0.2">
      <c r="A69" s="40"/>
      <c r="B69" s="2174" t="s">
        <v>1614</v>
      </c>
      <c r="C69" s="2175"/>
      <c r="D69" s="2175"/>
      <c r="E69" s="2175"/>
      <c r="F69" s="686" t="s">
        <v>1552</v>
      </c>
      <c r="G69" s="825"/>
      <c r="I69" s="594"/>
    </row>
    <row r="70" spans="1:13" s="17" customFormat="1" ht="58.5" customHeight="1" thickBot="1" x14ac:dyDescent="0.25">
      <c r="A70" s="40"/>
      <c r="B70" s="2179" t="s">
        <v>1689</v>
      </c>
      <c r="C70" s="2180"/>
      <c r="D70" s="2180"/>
      <c r="E70" s="2180"/>
      <c r="F70" s="79"/>
      <c r="G70" s="825"/>
      <c r="I70" s="594"/>
    </row>
    <row r="71" spans="1:13" s="17" customFormat="1" ht="13.5" thickBot="1" x14ac:dyDescent="0.25">
      <c r="A71" s="40"/>
      <c r="G71" s="68"/>
    </row>
    <row r="72" spans="1:13" s="17" customFormat="1" ht="16.5" customHeight="1" x14ac:dyDescent="0.25">
      <c r="A72" s="40"/>
      <c r="B72" s="2176" t="s">
        <v>1123</v>
      </c>
      <c r="C72" s="2177"/>
      <c r="G72" s="68"/>
    </row>
    <row r="73" spans="1:13" s="17" customFormat="1" ht="26.25" thickBot="1" x14ac:dyDescent="0.25">
      <c r="A73" s="40"/>
      <c r="B73" s="588" t="s">
        <v>450</v>
      </c>
      <c r="C73" s="589" t="s">
        <v>394</v>
      </c>
      <c r="G73" s="68"/>
    </row>
    <row r="74" spans="1:13" s="17" customFormat="1" x14ac:dyDescent="0.2">
      <c r="A74" s="40"/>
      <c r="B74" s="855" t="s">
        <v>413</v>
      </c>
      <c r="C74" s="1356">
        <f>'Adjust Inventory Year'!E30</f>
        <v>0.36</v>
      </c>
      <c r="D74" s="1148"/>
      <c r="G74" s="68"/>
    </row>
    <row r="75" spans="1:13" s="17" customFormat="1" x14ac:dyDescent="0.2">
      <c r="A75" s="40"/>
      <c r="B75" s="856" t="s">
        <v>414</v>
      </c>
      <c r="C75" s="1357">
        <f>'Adjust Inventory Year'!E31</f>
        <v>0.19600000000000001</v>
      </c>
      <c r="D75" s="1148"/>
      <c r="G75" s="68"/>
    </row>
    <row r="76" spans="1:13" s="17" customFormat="1" x14ac:dyDescent="0.2">
      <c r="A76" s="40"/>
      <c r="B76" s="856" t="s">
        <v>415</v>
      </c>
      <c r="C76" s="1357">
        <f>'Adjust Inventory Year'!E32</f>
        <v>0.42</v>
      </c>
      <c r="D76" s="1148"/>
      <c r="G76" s="68"/>
    </row>
    <row r="77" spans="1:13" s="17" customFormat="1" x14ac:dyDescent="0.2">
      <c r="A77" s="40"/>
      <c r="B77" s="856" t="s">
        <v>416</v>
      </c>
      <c r="C77" s="1357">
        <f>'Adjust Inventory Year'!E33</f>
        <v>0.247</v>
      </c>
      <c r="D77" s="1148"/>
      <c r="G77" s="68"/>
    </row>
    <row r="78" spans="1:13" s="17" customFormat="1" x14ac:dyDescent="0.2">
      <c r="A78" s="40"/>
      <c r="B78" s="856" t="s">
        <v>417</v>
      </c>
      <c r="C78" s="1357">
        <f>'Adjust Inventory Year'!E34</f>
        <v>0.10199999999999999</v>
      </c>
      <c r="D78" s="1148"/>
      <c r="G78" s="68"/>
    </row>
    <row r="79" spans="1:13" s="17" customFormat="1" x14ac:dyDescent="0.2">
      <c r="A79" s="40"/>
      <c r="B79" s="856" t="s">
        <v>418</v>
      </c>
      <c r="C79" s="1357">
        <f>'Adjust Inventory Year'!E35</f>
        <v>6.6000000000000003E-2</v>
      </c>
      <c r="D79" s="1148"/>
      <c r="G79" s="68"/>
    </row>
    <row r="80" spans="1:13" s="17" customFormat="1" x14ac:dyDescent="0.2">
      <c r="A80" s="40"/>
      <c r="B80" s="856" t="s">
        <v>419</v>
      </c>
      <c r="C80" s="1357">
        <f>'Adjust Inventory Year'!E36</f>
        <v>0.14399999999999999</v>
      </c>
      <c r="D80" s="1148"/>
      <c r="G80" s="68"/>
    </row>
    <row r="81" spans="1:7" s="17" customFormat="1" x14ac:dyDescent="0.2">
      <c r="A81" s="40"/>
      <c r="B81" s="856" t="s">
        <v>420</v>
      </c>
      <c r="C81" s="1357">
        <f>'Adjust Inventory Year'!E37</f>
        <v>0.47799999999999998</v>
      </c>
      <c r="D81" s="1148"/>
      <c r="G81" s="68"/>
    </row>
    <row r="82" spans="1:7" s="17" customFormat="1" x14ac:dyDescent="0.2">
      <c r="A82" s="40"/>
      <c r="B82" s="856" t="s">
        <v>421</v>
      </c>
      <c r="C82" s="1357">
        <f>'Adjust Inventory Year'!E38</f>
        <v>0.316</v>
      </c>
      <c r="D82" s="1148"/>
      <c r="G82" s="68"/>
    </row>
    <row r="83" spans="1:7" s="17" customFormat="1" x14ac:dyDescent="0.2">
      <c r="A83" s="40"/>
      <c r="B83" s="856" t="s">
        <v>422</v>
      </c>
      <c r="C83" s="1357">
        <f>'Adjust Inventory Year'!E39</f>
        <v>0.26700000000000002</v>
      </c>
      <c r="D83" s="1148"/>
      <c r="G83" s="68"/>
    </row>
    <row r="84" spans="1:7" s="17" customFormat="1" x14ac:dyDescent="0.2">
      <c r="A84" s="40"/>
      <c r="B84" s="856" t="s">
        <v>423</v>
      </c>
      <c r="C84" s="1357">
        <f>'Adjust Inventory Year'!E40</f>
        <v>0.13100000000000001</v>
      </c>
      <c r="D84" s="1148"/>
      <c r="G84" s="68"/>
    </row>
    <row r="85" spans="1:7" s="17" customFormat="1" x14ac:dyDescent="0.2">
      <c r="A85" s="40"/>
      <c r="B85" s="856" t="s">
        <v>424</v>
      </c>
      <c r="C85" s="1357">
        <f>'Adjust Inventory Year'!E41</f>
        <v>0.40300000000000002</v>
      </c>
      <c r="D85" s="1148"/>
      <c r="G85" s="68"/>
    </row>
    <row r="86" spans="1:7" s="17" customFormat="1" x14ac:dyDescent="0.2">
      <c r="A86" s="40"/>
      <c r="B86" s="856" t="s">
        <v>425</v>
      </c>
      <c r="C86" s="1357">
        <f>'Adjust Inventory Year'!E42</f>
        <v>0.48899999999999999</v>
      </c>
      <c r="D86" s="1148"/>
      <c r="G86" s="68"/>
    </row>
    <row r="87" spans="1:7" s="17" customFormat="1" x14ac:dyDescent="0.2">
      <c r="A87" s="40"/>
      <c r="B87" s="856" t="s">
        <v>426</v>
      </c>
      <c r="C87" s="1357">
        <f>'Adjust Inventory Year'!E43</f>
        <v>0.39400000000000002</v>
      </c>
      <c r="D87" s="1148"/>
      <c r="G87" s="68"/>
    </row>
    <row r="88" spans="1:7" s="17" customFormat="1" x14ac:dyDescent="0.2">
      <c r="A88" s="40"/>
      <c r="B88" s="856" t="s">
        <v>427</v>
      </c>
      <c r="C88" s="1357">
        <f>'Adjust Inventory Year'!E44</f>
        <v>0.82099999999999995</v>
      </c>
      <c r="D88" s="1148"/>
      <c r="G88" s="68"/>
    </row>
    <row r="89" spans="1:7" s="17" customFormat="1" x14ac:dyDescent="0.2">
      <c r="A89" s="40"/>
      <c r="B89" s="856" t="s">
        <v>1553</v>
      </c>
      <c r="C89" s="1357">
        <f>'Adjust Inventory Year'!E45</f>
        <v>0.502</v>
      </c>
      <c r="D89" s="1148"/>
      <c r="G89" s="68"/>
    </row>
    <row r="90" spans="1:7" s="17" customFormat="1" x14ac:dyDescent="0.2">
      <c r="A90" s="40"/>
      <c r="B90" s="856" t="s">
        <v>428</v>
      </c>
      <c r="C90" s="1357">
        <f>'Adjust Inventory Year'!E46</f>
        <v>0.19400000000000001</v>
      </c>
      <c r="D90" s="1148"/>
      <c r="G90" s="68"/>
    </row>
    <row r="91" spans="1:7" s="17" customFormat="1" x14ac:dyDescent="0.2">
      <c r="A91" s="40"/>
      <c r="B91" s="856" t="s">
        <v>429</v>
      </c>
      <c r="C91" s="1357">
        <f>'Adjust Inventory Year'!E47</f>
        <v>8.2000000000000003E-2</v>
      </c>
      <c r="D91" s="1148"/>
      <c r="G91" s="68"/>
    </row>
    <row r="92" spans="1:7" s="17" customFormat="1" x14ac:dyDescent="0.2">
      <c r="A92" s="40"/>
      <c r="B92" s="856" t="s">
        <v>430</v>
      </c>
      <c r="C92" s="1357">
        <f>'Adjust Inventory Year'!E48</f>
        <v>0.501</v>
      </c>
      <c r="D92" s="1148"/>
      <c r="G92" s="68"/>
    </row>
    <row r="93" spans="1:7" s="17" customFormat="1" x14ac:dyDescent="0.2">
      <c r="A93" s="40"/>
      <c r="B93" s="856" t="s">
        <v>431</v>
      </c>
      <c r="C93" s="1357">
        <f>'Adjust Inventory Year'!E49</f>
        <v>0.34200000000000003</v>
      </c>
      <c r="D93" s="1148"/>
      <c r="G93" s="68"/>
    </row>
    <row r="94" spans="1:7" s="17" customFormat="1" x14ac:dyDescent="0.2">
      <c r="A94" s="40"/>
      <c r="B94" s="856" t="s">
        <v>432</v>
      </c>
      <c r="C94" s="1357">
        <f>'Adjust Inventory Year'!E50</f>
        <v>0.14199999999999999</v>
      </c>
      <c r="D94" s="1148"/>
      <c r="G94" s="68"/>
    </row>
    <row r="95" spans="1:7" s="17" customFormat="1" x14ac:dyDescent="0.2">
      <c r="A95" s="40"/>
      <c r="B95" s="856" t="s">
        <v>433</v>
      </c>
      <c r="C95" s="1357">
        <f>'Adjust Inventory Year'!E51</f>
        <v>0.27200000000000002</v>
      </c>
      <c r="D95" s="1148"/>
      <c r="G95" s="68"/>
    </row>
    <row r="96" spans="1:7" s="17" customFormat="1" x14ac:dyDescent="0.2">
      <c r="A96" s="40"/>
      <c r="B96" s="856" t="s">
        <v>434</v>
      </c>
      <c r="C96" s="1357">
        <f>'Adjust Inventory Year'!E52</f>
        <v>0.44</v>
      </c>
      <c r="D96" s="1148"/>
      <c r="G96" s="68"/>
    </row>
    <row r="97" spans="1:7" s="17" customFormat="1" x14ac:dyDescent="0.2">
      <c r="A97" s="40"/>
      <c r="B97" s="856" t="s">
        <v>634</v>
      </c>
      <c r="C97" s="1357" t="s">
        <v>1116</v>
      </c>
      <c r="D97" s="1148"/>
      <c r="G97" s="68"/>
    </row>
    <row r="98" spans="1:7" s="17" customFormat="1" x14ac:dyDescent="0.2">
      <c r="A98" s="40"/>
      <c r="B98" s="856" t="s">
        <v>435</v>
      </c>
      <c r="C98" s="1357">
        <f>'Adjust Inventory Year'!E53</f>
        <v>0.29799999999999999</v>
      </c>
      <c r="D98" s="1148"/>
      <c r="G98" s="68"/>
    </row>
    <row r="99" spans="1:7" s="17" customFormat="1" x14ac:dyDescent="0.2">
      <c r="A99" s="40"/>
      <c r="B99" s="856" t="s">
        <v>436</v>
      </c>
      <c r="C99" s="1357">
        <f>'Adjust Inventory Year'!E54</f>
        <v>4.5999999999999999E-2</v>
      </c>
      <c r="D99" s="1148"/>
      <c r="G99" s="68"/>
    </row>
    <row r="100" spans="1:7" s="17" customFormat="1" x14ac:dyDescent="0.2">
      <c r="A100" s="40"/>
      <c r="B100" s="856" t="s">
        <v>1126</v>
      </c>
      <c r="C100" s="1357">
        <v>0.12</v>
      </c>
      <c r="D100" s="1148"/>
      <c r="G100" s="68"/>
    </row>
    <row r="101" spans="1:7" s="17" customFormat="1" x14ac:dyDescent="0.2">
      <c r="A101" s="40"/>
      <c r="B101" s="856" t="s">
        <v>437</v>
      </c>
      <c r="C101" s="1357">
        <f>'Adjust Inventory Year'!E55</f>
        <v>0.54300000000000004</v>
      </c>
      <c r="D101" s="1148"/>
      <c r="G101" s="68"/>
    </row>
    <row r="102" spans="1:7" s="17" customFormat="1" x14ac:dyDescent="0.2">
      <c r="A102" s="40"/>
      <c r="B102" s="856" t="s">
        <v>438</v>
      </c>
      <c r="C102" s="1357">
        <f>'Adjust Inventory Year'!E56</f>
        <v>0.33200000000000002</v>
      </c>
      <c r="D102" s="1148"/>
      <c r="G102" s="68"/>
    </row>
    <row r="103" spans="1:7" s="17" customFormat="1" x14ac:dyDescent="0.2">
      <c r="A103" s="40"/>
      <c r="B103" s="856" t="s">
        <v>439</v>
      </c>
      <c r="C103" s="1357">
        <f>'Adjust Inventory Year'!E57</f>
        <v>0.1</v>
      </c>
      <c r="D103" s="1148"/>
      <c r="G103" s="68"/>
    </row>
    <row r="104" spans="1:7" s="17" customFormat="1" x14ac:dyDescent="0.2">
      <c r="A104" s="40"/>
      <c r="B104" s="856" t="s">
        <v>1554</v>
      </c>
      <c r="C104" s="1357">
        <f>'Adjust Inventory Year'!E58</f>
        <v>0.19900000000000001</v>
      </c>
      <c r="D104" s="1148"/>
      <c r="G104" s="68"/>
    </row>
    <row r="105" spans="1:7" s="17" customFormat="1" x14ac:dyDescent="0.2">
      <c r="A105" s="40"/>
      <c r="B105" s="856" t="s">
        <v>440</v>
      </c>
      <c r="C105" s="1357">
        <f>'Adjust Inventory Year'!E59</f>
        <v>8.5999999999999993E-2</v>
      </c>
      <c r="G105" s="68"/>
    </row>
    <row r="106" spans="1:7" s="17" customFormat="1" x14ac:dyDescent="0.2">
      <c r="A106" s="40"/>
      <c r="B106" s="856" t="s">
        <v>441</v>
      </c>
      <c r="C106" s="1357">
        <f>'Adjust Inventory Year'!E60</f>
        <v>8.5000000000000006E-2</v>
      </c>
      <c r="G106" s="68"/>
    </row>
    <row r="107" spans="1:7" s="17" customFormat="1" x14ac:dyDescent="0.2">
      <c r="A107" s="40"/>
      <c r="B107" s="856" t="s">
        <v>442</v>
      </c>
      <c r="C107" s="1357">
        <f>'Adjust Inventory Year'!E61</f>
        <v>0.33300000000000002</v>
      </c>
      <c r="G107" s="68"/>
    </row>
    <row r="108" spans="1:7" s="17" customFormat="1" x14ac:dyDescent="0.2">
      <c r="A108" s="40"/>
      <c r="B108" s="856" t="s">
        <v>443</v>
      </c>
      <c r="C108" s="1357">
        <f>'Adjust Inventory Year'!E62</f>
        <v>0.85799999999999998</v>
      </c>
      <c r="G108" s="68"/>
    </row>
    <row r="109" spans="1:7" s="17" customFormat="1" x14ac:dyDescent="0.2">
      <c r="A109" s="40"/>
      <c r="B109" s="856" t="s">
        <v>444</v>
      </c>
      <c r="C109" s="1357">
        <f>'Adjust Inventory Year'!E63</f>
        <v>0.45400000000000001</v>
      </c>
      <c r="G109" s="68"/>
    </row>
    <row r="110" spans="1:7" s="17" customFormat="1" x14ac:dyDescent="0.2">
      <c r="A110" s="40"/>
      <c r="B110" s="856" t="s">
        <v>1555</v>
      </c>
      <c r="C110" s="1357">
        <f>'Adjust Inventory Year'!E64</f>
        <v>9.1999999999999998E-2</v>
      </c>
      <c r="G110" s="68"/>
    </row>
    <row r="111" spans="1:7" s="17" customFormat="1" x14ac:dyDescent="0.2">
      <c r="A111" s="40"/>
      <c r="B111" s="856" t="s">
        <v>445</v>
      </c>
      <c r="C111" s="1357">
        <f>'Adjust Inventory Year'!E65</f>
        <v>0.48299999999999998</v>
      </c>
      <c r="G111" s="68"/>
    </row>
    <row r="112" spans="1:7" s="17" customFormat="1" x14ac:dyDescent="0.2">
      <c r="A112" s="40"/>
      <c r="B112" s="856" t="s">
        <v>446</v>
      </c>
      <c r="C112" s="1357">
        <f>'Adjust Inventory Year'!E66</f>
        <v>0.36399999999999999</v>
      </c>
      <c r="G112" s="68"/>
    </row>
    <row r="113" spans="1:12" s="17" customFormat="1" x14ac:dyDescent="0.2">
      <c r="A113" s="40"/>
      <c r="B113" s="856" t="s">
        <v>447</v>
      </c>
      <c r="C113" s="1357">
        <f>'Adjust Inventory Year'!E67</f>
        <v>0.105</v>
      </c>
      <c r="G113" s="68"/>
    </row>
    <row r="114" spans="1:12" s="17" customFormat="1" x14ac:dyDescent="0.2">
      <c r="A114" s="40"/>
      <c r="B114" s="856" t="s">
        <v>448</v>
      </c>
      <c r="C114" s="1357">
        <f>'Adjust Inventory Year'!E68</f>
        <v>0.504</v>
      </c>
      <c r="G114" s="68"/>
    </row>
    <row r="115" spans="1:12" s="17" customFormat="1" ht="13.5" thickBot="1" x14ac:dyDescent="0.25">
      <c r="A115" s="40"/>
      <c r="B115" s="857" t="s">
        <v>449</v>
      </c>
      <c r="C115" s="1357">
        <f>'Adjust Inventory Year'!E69</f>
        <v>0.435</v>
      </c>
      <c r="G115" s="68"/>
    </row>
    <row r="116" spans="1:12" s="17" customFormat="1" ht="49.5" customHeight="1" thickBot="1" x14ac:dyDescent="0.25">
      <c r="A116" s="40"/>
      <c r="B116" s="2169" t="s">
        <v>1556</v>
      </c>
      <c r="C116" s="2181"/>
      <c r="D116" s="826" t="s">
        <v>1552</v>
      </c>
    </row>
    <row r="117" spans="1:12" s="17" customFormat="1" ht="13.5" thickBot="1" x14ac:dyDescent="0.25">
      <c r="A117" s="40"/>
      <c r="B117" s="5"/>
      <c r="C117" s="5"/>
      <c r="D117" s="5"/>
    </row>
    <row r="118" spans="1:12" s="17" customFormat="1" ht="18" customHeight="1" thickBot="1" x14ac:dyDescent="0.3">
      <c r="A118" s="40"/>
      <c r="B118" s="1964" t="s">
        <v>1127</v>
      </c>
      <c r="C118" s="1965"/>
      <c r="D118" s="1965"/>
      <c r="E118" s="1965"/>
      <c r="F118" s="1965"/>
      <c r="G118" s="1965"/>
      <c r="H118" s="1965"/>
      <c r="I118" s="1966"/>
    </row>
    <row r="119" spans="1:12" s="17" customFormat="1" ht="25.5" x14ac:dyDescent="0.2">
      <c r="A119" s="40"/>
      <c r="B119" s="817" t="s">
        <v>85</v>
      </c>
      <c r="C119" s="818" t="s">
        <v>96</v>
      </c>
      <c r="D119" s="820" t="s">
        <v>341</v>
      </c>
      <c r="E119" s="818" t="s">
        <v>342</v>
      </c>
      <c r="F119" s="818" t="s">
        <v>343</v>
      </c>
      <c r="G119" s="821" t="s">
        <v>457</v>
      </c>
      <c r="H119" s="821" t="s">
        <v>458</v>
      </c>
      <c r="I119" s="822" t="s">
        <v>459</v>
      </c>
    </row>
    <row r="120" spans="1:12" s="17" customFormat="1" x14ac:dyDescent="0.2">
      <c r="A120" s="40"/>
      <c r="B120" s="858" t="s">
        <v>196</v>
      </c>
      <c r="C120" s="859">
        <f>SUM('Stationary Energy - Buildings'!D11:D13)</f>
        <v>0</v>
      </c>
      <c r="D120" s="860">
        <f>SUMIF('Stationary Energy - Buildings'!F11:F13,"&lt;&gt;#DIV/0!",'Stationary Energy - Buildings'!F11:F13)</f>
        <v>0</v>
      </c>
      <c r="E120" s="860">
        <f>SUMIF('Stationary Energy - Buildings'!G11:G13,"&lt;&gt;#DIV/0!",'Stationary Energy - Buildings'!G11:G13)</f>
        <v>0</v>
      </c>
      <c r="F120" s="860">
        <f>SUMIF('Stationary Energy - Buildings'!H11:H13,"&lt;&gt;#DIV/0!",'Stationary Energy - Buildings'!H11:H13)</f>
        <v>0</v>
      </c>
      <c r="G120" s="861" t="e">
        <f t="shared" ref="G120:I121" si="6">D120/$C120</f>
        <v>#DIV/0!</v>
      </c>
      <c r="H120" s="861" t="e">
        <f t="shared" si="6"/>
        <v>#DIV/0!</v>
      </c>
      <c r="I120" s="862" t="e">
        <f t="shared" si="6"/>
        <v>#DIV/0!</v>
      </c>
    </row>
    <row r="121" spans="1:12" s="17" customFormat="1" ht="26.25" thickBot="1" x14ac:dyDescent="0.25">
      <c r="A121" s="40"/>
      <c r="B121" s="863" t="s">
        <v>571</v>
      </c>
      <c r="C121" s="864">
        <f>SUM('Stationary Energy - Buildings'!D16:D18)</f>
        <v>0</v>
      </c>
      <c r="D121" s="865">
        <f>SUMIF('Stationary Energy - Buildings'!F16:F18,"&lt;&gt;#DIV/0!",'Stationary Energy - Buildings'!F16:F18)</f>
        <v>0</v>
      </c>
      <c r="E121" s="865">
        <f>SUMIF('Stationary Energy - Buildings'!G16:G18,"&lt;&gt;#DIV/0!",'Stationary Energy - Buildings'!G16:G18)</f>
        <v>0</v>
      </c>
      <c r="F121" s="865">
        <f>SUMIF('Stationary Energy - Buildings'!H16:H18,"&lt;&gt;#DIV/0!",'Stationary Energy - Buildings'!H16:H18)</f>
        <v>0</v>
      </c>
      <c r="G121" s="866" t="e">
        <f>D121/$C121</f>
        <v>#DIV/0!</v>
      </c>
      <c r="H121" s="866" t="e">
        <f t="shared" si="6"/>
        <v>#DIV/0!</v>
      </c>
      <c r="I121" s="867" t="e">
        <f t="shared" si="6"/>
        <v>#DIV/0!</v>
      </c>
    </row>
    <row r="122" spans="1:12" s="17" customFormat="1" ht="42.75" customHeight="1" thickBot="1" x14ac:dyDescent="0.25">
      <c r="A122" s="40"/>
      <c r="B122" s="2208" t="s">
        <v>1128</v>
      </c>
      <c r="C122" s="2209"/>
      <c r="D122" s="2209"/>
      <c r="E122" s="2210"/>
      <c r="G122" s="68"/>
    </row>
    <row r="123" spans="1:12" s="17" customFormat="1" ht="13.5" thickBot="1" x14ac:dyDescent="0.25">
      <c r="A123" s="40"/>
      <c r="B123" s="69"/>
      <c r="C123" s="54"/>
      <c r="D123" s="54"/>
      <c r="E123" s="54"/>
      <c r="F123" s="54"/>
      <c r="G123" s="54"/>
      <c r="H123" s="68"/>
      <c r="I123" s="68"/>
    </row>
    <row r="124" spans="1:12" s="17" customFormat="1" ht="15.75" thickBot="1" x14ac:dyDescent="0.25">
      <c r="A124" s="40"/>
      <c r="B124" s="2012" t="s">
        <v>1129</v>
      </c>
      <c r="C124" s="2191"/>
      <c r="D124" s="2193"/>
      <c r="E124" s="819"/>
      <c r="F124" s="40"/>
      <c r="G124" s="68"/>
      <c r="H124" s="68"/>
      <c r="I124" s="68"/>
    </row>
    <row r="125" spans="1:12" s="17" customFormat="1" x14ac:dyDescent="0.2">
      <c r="A125" s="40"/>
      <c r="B125" s="103" t="s">
        <v>28</v>
      </c>
      <c r="C125" s="104" t="s">
        <v>29</v>
      </c>
      <c r="D125" s="105" t="s">
        <v>5</v>
      </c>
      <c r="E125" s="40"/>
      <c r="F125" s="40"/>
      <c r="G125" s="68"/>
      <c r="H125" s="68"/>
      <c r="I125" s="68"/>
    </row>
    <row r="126" spans="1:12" s="17" customFormat="1" ht="13.5" thickBot="1" x14ac:dyDescent="0.25">
      <c r="A126" s="40"/>
      <c r="B126" s="1358">
        <f>'Adjust Inventory Year'!B79</f>
        <v>28</v>
      </c>
      <c r="C126" s="1359">
        <f>'Adjust Inventory Year'!C79</f>
        <v>265</v>
      </c>
      <c r="D126" s="79" t="s">
        <v>381</v>
      </c>
      <c r="E126" s="40"/>
      <c r="F126" s="40"/>
      <c r="G126" s="309"/>
      <c r="H126" s="68"/>
      <c r="I126" s="54"/>
    </row>
    <row r="127" spans="1:12" s="17" customFormat="1" ht="13.5" thickBot="1" x14ac:dyDescent="0.25">
      <c r="A127" s="40"/>
      <c r="B127" s="2182"/>
      <c r="C127" s="2183"/>
      <c r="D127" s="40"/>
      <c r="E127" s="40"/>
      <c r="F127" s="40"/>
      <c r="G127" s="68"/>
      <c r="H127" s="68"/>
      <c r="I127" s="68"/>
    </row>
    <row r="128" spans="1:12" s="17" customFormat="1" ht="15" thickBot="1" x14ac:dyDescent="0.25">
      <c r="A128" s="40"/>
      <c r="B128" s="2012" t="s">
        <v>1130</v>
      </c>
      <c r="C128" s="2178"/>
      <c r="D128" s="2178"/>
      <c r="E128" s="2178"/>
      <c r="F128" s="1965"/>
      <c r="G128" s="1965"/>
      <c r="H128" s="1966"/>
      <c r="I128" s="819"/>
      <c r="J128" s="28"/>
      <c r="K128" s="28"/>
      <c r="L128" s="28"/>
    </row>
    <row r="129" spans="1:14" s="17" customFormat="1" ht="15" customHeight="1" x14ac:dyDescent="0.2">
      <c r="A129" s="40"/>
      <c r="B129" s="106" t="s">
        <v>73</v>
      </c>
      <c r="C129" s="352" t="s">
        <v>295</v>
      </c>
      <c r="D129" s="353" t="s">
        <v>292</v>
      </c>
      <c r="E129" s="352" t="s">
        <v>296</v>
      </c>
      <c r="F129" s="352" t="s">
        <v>297</v>
      </c>
      <c r="G129" s="107" t="s">
        <v>4</v>
      </c>
      <c r="H129" s="108" t="s">
        <v>5</v>
      </c>
      <c r="I129" s="54"/>
      <c r="J129" s="54"/>
      <c r="K129" s="54"/>
      <c r="L129" s="28"/>
      <c r="M129" s="28"/>
      <c r="N129" s="28"/>
    </row>
    <row r="130" spans="1:14" s="17" customFormat="1" ht="15" customHeight="1" x14ac:dyDescent="0.2">
      <c r="A130" s="40"/>
      <c r="B130" s="868" t="s">
        <v>8</v>
      </c>
      <c r="C130" s="869" t="s">
        <v>293</v>
      </c>
      <c r="D130" s="1360">
        <f>'Adjust Inventory Year'!C84</f>
        <v>5.0420011200000006E-7</v>
      </c>
      <c r="E130" s="1362">
        <f>'Adjust Inventory Year'!D84</f>
        <v>1.020648E-2</v>
      </c>
      <c r="F130" s="1360">
        <f>'Adjust Inventory Year'!E84</f>
        <v>3.60288744E-7</v>
      </c>
      <c r="G130" s="869" t="s">
        <v>64</v>
      </c>
      <c r="H130" s="870" t="s">
        <v>72</v>
      </c>
      <c r="J130" s="54"/>
      <c r="K130" s="54"/>
      <c r="L130" s="28"/>
      <c r="M130" s="28"/>
      <c r="N130" s="28"/>
    </row>
    <row r="131" spans="1:14" s="17" customFormat="1" ht="15" customHeight="1" x14ac:dyDescent="0.2">
      <c r="A131" s="40"/>
      <c r="B131" s="871" t="s">
        <v>9</v>
      </c>
      <c r="C131" s="872" t="s">
        <v>293</v>
      </c>
      <c r="D131" s="1361">
        <f>'Adjust Inventory Year'!C85</f>
        <v>4.3348500000000002E-7</v>
      </c>
      <c r="E131" s="1363">
        <f>'Adjust Inventory Year'!D85</f>
        <v>8.7749999999999998E-3</v>
      </c>
      <c r="F131" s="1361">
        <f>'Adjust Inventory Year'!E85</f>
        <v>3.0975749999999997E-7</v>
      </c>
      <c r="G131" s="872" t="s">
        <v>64</v>
      </c>
      <c r="H131" s="873" t="s">
        <v>72</v>
      </c>
      <c r="I131" s="54"/>
      <c r="J131" s="54"/>
      <c r="K131" s="54"/>
      <c r="L131" s="28"/>
      <c r="M131" s="28"/>
      <c r="N131" s="28"/>
    </row>
    <row r="132" spans="1:14" s="17" customFormat="1" ht="15" customHeight="1" x14ac:dyDescent="0.2">
      <c r="A132" s="40"/>
      <c r="B132" s="871" t="s">
        <v>70</v>
      </c>
      <c r="C132" s="872" t="s">
        <v>68</v>
      </c>
      <c r="D132" s="1150"/>
      <c r="E132" s="1149">
        <f>E133/D147</f>
        <v>5.2941176470588228E-2</v>
      </c>
      <c r="F132" s="1150"/>
      <c r="G132" s="872" t="s">
        <v>71</v>
      </c>
      <c r="H132" s="873" t="s">
        <v>72</v>
      </c>
      <c r="I132" s="54"/>
      <c r="J132" s="54"/>
      <c r="K132" s="54"/>
      <c r="L132" s="28"/>
      <c r="M132" s="28"/>
      <c r="N132" s="28"/>
    </row>
    <row r="133" spans="1:14" s="17" customFormat="1" ht="15" customHeight="1" thickBot="1" x14ac:dyDescent="0.25">
      <c r="A133" s="40"/>
      <c r="B133" s="874" t="s">
        <v>70</v>
      </c>
      <c r="C133" s="875" t="s">
        <v>294</v>
      </c>
      <c r="D133" s="1151"/>
      <c r="E133" s="1364">
        <f>'Adjust Inventory Year'!D86*D139</f>
        <v>5.3999999999999998E-5</v>
      </c>
      <c r="F133" s="1151"/>
      <c r="G133" s="875" t="s">
        <v>90</v>
      </c>
      <c r="H133" s="876" t="s">
        <v>72</v>
      </c>
      <c r="I133" s="54"/>
      <c r="J133" s="54"/>
      <c r="K133" s="54"/>
      <c r="L133" s="28"/>
      <c r="M133" s="28"/>
      <c r="N133" s="28"/>
    </row>
    <row r="134" spans="1:14" s="17" customFormat="1" ht="15" customHeight="1" thickBot="1" x14ac:dyDescent="0.25">
      <c r="A134" s="40"/>
      <c r="B134" s="54"/>
      <c r="C134" s="54"/>
      <c r="D134" s="54"/>
      <c r="E134" s="54"/>
      <c r="F134" s="54"/>
      <c r="G134" s="54"/>
      <c r="H134" s="54"/>
      <c r="I134" s="28"/>
      <c r="J134" s="28"/>
      <c r="K134" s="28"/>
    </row>
    <row r="135" spans="1:14" s="17" customFormat="1" ht="15" customHeight="1" thickBot="1" x14ac:dyDescent="0.3">
      <c r="A135" s="40"/>
      <c r="B135" s="1964" t="s">
        <v>1131</v>
      </c>
      <c r="C135" s="2158"/>
      <c r="D135" s="2158"/>
      <c r="E135" s="2159"/>
      <c r="F135" s="819"/>
      <c r="G135" s="54"/>
      <c r="H135" s="54"/>
      <c r="I135" s="54"/>
      <c r="J135" s="28"/>
      <c r="K135" s="28"/>
      <c r="L135" s="28"/>
    </row>
    <row r="136" spans="1:14" s="17" customFormat="1" ht="15" customHeight="1" x14ac:dyDescent="0.2">
      <c r="A136" s="40"/>
      <c r="B136" s="88" t="s">
        <v>65</v>
      </c>
      <c r="C136" s="89" t="s">
        <v>66</v>
      </c>
      <c r="D136" s="89" t="s">
        <v>89</v>
      </c>
      <c r="E136" s="90" t="s">
        <v>5</v>
      </c>
      <c r="F136" s="54"/>
      <c r="G136" s="54"/>
      <c r="H136" s="54"/>
      <c r="I136" s="54"/>
      <c r="J136" s="28"/>
      <c r="K136" s="28"/>
      <c r="L136" s="28"/>
    </row>
    <row r="137" spans="1:14" s="17" customFormat="1" ht="15" customHeight="1" x14ac:dyDescent="0.2">
      <c r="A137" s="40"/>
      <c r="B137" s="877" t="s">
        <v>87</v>
      </c>
      <c r="C137" s="878" t="s">
        <v>68</v>
      </c>
      <c r="D137" s="878">
        <v>0.13800000000000001</v>
      </c>
      <c r="E137" s="870" t="s">
        <v>72</v>
      </c>
      <c r="F137" s="54"/>
      <c r="G137" s="54"/>
      <c r="H137" s="54"/>
      <c r="I137" s="54"/>
      <c r="J137" s="28"/>
      <c r="K137" s="28"/>
      <c r="L137" s="28"/>
    </row>
    <row r="138" spans="1:14" s="17" customFormat="1" ht="15" customHeight="1" x14ac:dyDescent="0.2">
      <c r="A138" s="40"/>
      <c r="B138" s="879" t="s">
        <v>299</v>
      </c>
      <c r="C138" s="880" t="s">
        <v>191</v>
      </c>
      <c r="D138" s="872">
        <v>9.9999999999999995E-7</v>
      </c>
      <c r="E138" s="881" t="s">
        <v>88</v>
      </c>
      <c r="F138" s="54"/>
      <c r="G138" s="54"/>
      <c r="H138" s="54"/>
      <c r="I138" s="54"/>
      <c r="J138" s="28"/>
      <c r="K138" s="28"/>
      <c r="L138" s="28"/>
    </row>
    <row r="139" spans="1:14" s="17" customFormat="1" ht="15" customHeight="1" x14ac:dyDescent="0.2">
      <c r="A139" s="40"/>
      <c r="B139" s="882" t="s">
        <v>190</v>
      </c>
      <c r="C139" s="883" t="s">
        <v>191</v>
      </c>
      <c r="D139" s="872">
        <v>1E-3</v>
      </c>
      <c r="E139" s="881" t="s">
        <v>88</v>
      </c>
      <c r="F139" s="54"/>
      <c r="G139" s="54"/>
      <c r="H139" s="54"/>
      <c r="I139" s="54"/>
      <c r="J139" s="28"/>
      <c r="K139" s="28"/>
      <c r="L139" s="28"/>
    </row>
    <row r="140" spans="1:14" s="17" customFormat="1" ht="15" customHeight="1" x14ac:dyDescent="0.2">
      <c r="A140" s="40"/>
      <c r="B140" s="884" t="s">
        <v>31</v>
      </c>
      <c r="C140" s="885" t="s">
        <v>68</v>
      </c>
      <c r="D140" s="1365">
        <v>3.4121399999999997E-3</v>
      </c>
      <c r="E140" s="881" t="s">
        <v>88</v>
      </c>
      <c r="F140" s="54"/>
      <c r="G140" s="54"/>
      <c r="I140" s="54"/>
      <c r="J140" s="28"/>
      <c r="K140" s="28"/>
      <c r="L140" s="28"/>
    </row>
    <row r="141" spans="1:14" s="17" customFormat="1" x14ac:dyDescent="0.2">
      <c r="A141" s="40"/>
      <c r="B141" s="886" t="s">
        <v>193</v>
      </c>
      <c r="C141" s="887" t="s">
        <v>192</v>
      </c>
      <c r="D141" s="208">
        <v>1000</v>
      </c>
      <c r="E141" s="881" t="s">
        <v>88</v>
      </c>
      <c r="F141" s="54"/>
      <c r="G141" s="54"/>
      <c r="H141" s="54"/>
      <c r="I141" s="54"/>
      <c r="J141" s="28"/>
      <c r="K141" s="28"/>
      <c r="L141" s="28"/>
    </row>
    <row r="142" spans="1:14" s="17" customFormat="1" x14ac:dyDescent="0.2">
      <c r="A142" s="40"/>
      <c r="B142" s="886" t="s">
        <v>1163</v>
      </c>
      <c r="C142" s="887" t="s">
        <v>191</v>
      </c>
      <c r="D142" s="208">
        <v>1000000</v>
      </c>
      <c r="E142" s="881" t="s">
        <v>88</v>
      </c>
      <c r="F142" s="54"/>
      <c r="G142" s="54"/>
      <c r="H142" s="54"/>
      <c r="I142" s="54"/>
      <c r="J142" s="28"/>
      <c r="K142" s="28"/>
      <c r="L142" s="28"/>
    </row>
    <row r="143" spans="1:14" s="17" customFormat="1" x14ac:dyDescent="0.2">
      <c r="A143" s="40"/>
      <c r="B143" s="886" t="s">
        <v>189</v>
      </c>
      <c r="C143" s="887" t="s">
        <v>191</v>
      </c>
      <c r="D143" s="1366">
        <v>4.53592E-4</v>
      </c>
      <c r="E143" s="881" t="s">
        <v>88</v>
      </c>
      <c r="F143" s="54"/>
      <c r="G143" s="54"/>
      <c r="H143" s="54"/>
      <c r="I143" s="54"/>
      <c r="J143" s="28"/>
      <c r="K143" s="28"/>
      <c r="L143" s="28"/>
    </row>
    <row r="144" spans="1:14" s="17" customFormat="1" x14ac:dyDescent="0.2">
      <c r="A144" s="40"/>
      <c r="B144" s="884" t="s">
        <v>132</v>
      </c>
      <c r="C144" s="885" t="s">
        <v>131</v>
      </c>
      <c r="D144" s="1367">
        <v>0.90718500000000002</v>
      </c>
      <c r="E144" s="881" t="s">
        <v>88</v>
      </c>
      <c r="F144" s="54"/>
      <c r="G144" s="54"/>
      <c r="H144" s="54"/>
      <c r="I144" s="54"/>
      <c r="J144" s="28"/>
      <c r="K144" s="28"/>
      <c r="L144" s="28"/>
    </row>
    <row r="145" spans="1:12" s="17" customFormat="1" x14ac:dyDescent="0.2">
      <c r="A145" s="40"/>
      <c r="B145" s="884" t="s">
        <v>132</v>
      </c>
      <c r="C145" s="885" t="s">
        <v>190</v>
      </c>
      <c r="D145" s="1234">
        <v>907.18499999999995</v>
      </c>
      <c r="E145" s="881" t="s">
        <v>88</v>
      </c>
      <c r="F145" s="54"/>
      <c r="G145" s="54"/>
      <c r="H145" s="54"/>
      <c r="I145" s="54"/>
      <c r="J145" s="28"/>
      <c r="K145" s="28"/>
      <c r="L145" s="28"/>
    </row>
    <row r="146" spans="1:12" s="17" customFormat="1" x14ac:dyDescent="0.2">
      <c r="A146" s="40"/>
      <c r="B146" s="884" t="s">
        <v>132</v>
      </c>
      <c r="C146" s="885" t="s">
        <v>1384</v>
      </c>
      <c r="D146" s="1367">
        <v>9.0718500000000002E-4</v>
      </c>
      <c r="E146" s="881" t="s">
        <v>88</v>
      </c>
      <c r="F146" s="54"/>
      <c r="G146" s="54"/>
      <c r="H146" s="54"/>
      <c r="I146" s="54"/>
      <c r="J146" s="28"/>
      <c r="K146" s="28"/>
      <c r="L146" s="28"/>
    </row>
    <row r="147" spans="1:12" s="17" customFormat="1" ht="15" customHeight="1" x14ac:dyDescent="0.2">
      <c r="A147" s="40"/>
      <c r="B147" s="879" t="s">
        <v>69</v>
      </c>
      <c r="C147" s="888" t="s">
        <v>1214</v>
      </c>
      <c r="D147" s="872">
        <v>1.0200000000000001E-3</v>
      </c>
      <c r="E147" s="881" t="s">
        <v>88</v>
      </c>
      <c r="F147" s="54"/>
      <c r="G147" s="54"/>
      <c r="H147" s="54"/>
      <c r="I147" s="54"/>
      <c r="J147" s="28"/>
      <c r="K147" s="28"/>
      <c r="L147" s="28"/>
    </row>
    <row r="148" spans="1:12" s="17" customFormat="1" ht="15" customHeight="1" x14ac:dyDescent="0.2">
      <c r="A148" s="40"/>
      <c r="B148" s="1878" t="s">
        <v>92</v>
      </c>
      <c r="C148" s="1879" t="s">
        <v>1214</v>
      </c>
      <c r="D148" s="1880">
        <v>9.9976099999999998E-2</v>
      </c>
      <c r="E148" s="1881" t="s">
        <v>88</v>
      </c>
      <c r="F148" s="54"/>
      <c r="G148" s="54"/>
      <c r="H148" s="54"/>
      <c r="I148" s="54"/>
      <c r="J148" s="28"/>
      <c r="K148" s="28"/>
      <c r="L148" s="28"/>
    </row>
    <row r="149" spans="1:12" s="17" customFormat="1" ht="15" customHeight="1" thickBot="1" x14ac:dyDescent="0.25">
      <c r="A149" s="40"/>
      <c r="B149" s="889" t="s">
        <v>189</v>
      </c>
      <c r="C149" s="890" t="s">
        <v>1667</v>
      </c>
      <c r="D149" s="1877">
        <v>0.453592</v>
      </c>
      <c r="E149" s="891" t="s">
        <v>88</v>
      </c>
      <c r="F149" s="54"/>
      <c r="G149" s="54"/>
      <c r="H149" s="54"/>
      <c r="I149" s="54"/>
      <c r="J149" s="28"/>
      <c r="K149" s="28"/>
      <c r="L149" s="28"/>
    </row>
    <row r="150" spans="1:12" s="17" customFormat="1" ht="15" customHeight="1" x14ac:dyDescent="0.2">
      <c r="A150" s="40"/>
      <c r="F150" s="54"/>
      <c r="G150" s="54"/>
      <c r="H150" s="54"/>
      <c r="I150" s="54"/>
      <c r="J150" s="28"/>
      <c r="K150" s="28"/>
      <c r="L150" s="28"/>
    </row>
    <row r="151" spans="1:12" s="17" customFormat="1" x14ac:dyDescent="0.2"/>
    <row r="152" spans="1:12" s="17" customFormat="1" x14ac:dyDescent="0.2"/>
    <row r="153" spans="1:12" s="17" customFormat="1" x14ac:dyDescent="0.2">
      <c r="C153" s="1426"/>
    </row>
    <row r="154" spans="1:12" s="17" customFormat="1" x14ac:dyDescent="0.2">
      <c r="C154" s="1426"/>
    </row>
    <row r="155" spans="1:12" s="17" customFormat="1" x14ac:dyDescent="0.2"/>
    <row r="156" spans="1:12" s="17" customFormat="1" x14ac:dyDescent="0.2"/>
    <row r="157" spans="1:12" s="17" customFormat="1" ht="19.5" customHeight="1" x14ac:dyDescent="0.2">
      <c r="J157" s="593"/>
    </row>
    <row r="158" spans="1:12" s="17" customFormat="1" ht="67.5" customHeight="1" x14ac:dyDescent="0.2"/>
    <row r="159" spans="1:12" s="17" customFormat="1" x14ac:dyDescent="0.2"/>
    <row r="160" spans="1:12" s="17" customFormat="1" x14ac:dyDescent="0.2"/>
    <row r="161" spans="5:9" s="17" customFormat="1" x14ac:dyDescent="0.2"/>
    <row r="162" spans="5:9" s="17" customFormat="1" x14ac:dyDescent="0.2"/>
    <row r="163" spans="5:9" s="17" customFormat="1" x14ac:dyDescent="0.2"/>
    <row r="164" spans="5:9" s="17" customFormat="1" x14ac:dyDescent="0.2"/>
    <row r="165" spans="5:9" s="17" customFormat="1" x14ac:dyDescent="0.2"/>
    <row r="166" spans="5:9" x14ac:dyDescent="0.2">
      <c r="E166" s="5"/>
      <c r="F166" s="5"/>
      <c r="G166" s="5"/>
      <c r="H166" s="5"/>
      <c r="I166" s="5"/>
    </row>
    <row r="167" spans="5:9" x14ac:dyDescent="0.2">
      <c r="E167" s="5"/>
      <c r="F167" s="5"/>
      <c r="G167" s="5"/>
      <c r="H167" s="5"/>
      <c r="I167" s="5"/>
    </row>
    <row r="168" spans="5:9" x14ac:dyDescent="0.2">
      <c r="E168" s="5"/>
      <c r="F168" s="5"/>
      <c r="G168" s="5"/>
      <c r="H168" s="5"/>
      <c r="I168" s="5"/>
    </row>
    <row r="169" spans="5:9" x14ac:dyDescent="0.2">
      <c r="E169" s="5"/>
      <c r="F169" s="5"/>
      <c r="G169" s="5"/>
      <c r="H169" s="5"/>
      <c r="I169" s="5"/>
    </row>
    <row r="170" spans="5:9" x14ac:dyDescent="0.2">
      <c r="E170" s="5"/>
      <c r="F170" s="5"/>
      <c r="G170" s="5"/>
      <c r="H170" s="5"/>
      <c r="I170" s="5"/>
    </row>
    <row r="171" spans="5:9" x14ac:dyDescent="0.2">
      <c r="E171" s="5"/>
      <c r="F171" s="5"/>
      <c r="G171" s="5"/>
      <c r="H171" s="5"/>
      <c r="I171" s="5"/>
    </row>
    <row r="172" spans="5:9" ht="46.5" customHeight="1" x14ac:dyDescent="0.2">
      <c r="E172" s="5"/>
      <c r="F172" s="5"/>
      <c r="G172" s="5"/>
      <c r="H172" s="5"/>
      <c r="I172" s="5"/>
    </row>
    <row r="173" spans="5:9" x14ac:dyDescent="0.2">
      <c r="E173" s="5"/>
      <c r="F173" s="5"/>
      <c r="G173" s="5"/>
      <c r="H173" s="5"/>
      <c r="I173" s="5"/>
    </row>
    <row r="174" spans="5:9" x14ac:dyDescent="0.2">
      <c r="E174" s="5"/>
      <c r="F174" s="5"/>
      <c r="G174" s="5"/>
      <c r="H174" s="5"/>
      <c r="I174" s="5"/>
    </row>
    <row r="175" spans="5:9" x14ac:dyDescent="0.2">
      <c r="E175" s="5"/>
      <c r="F175" s="5"/>
      <c r="G175" s="5"/>
      <c r="H175" s="5"/>
      <c r="I175" s="5"/>
    </row>
    <row r="176" spans="5:9" x14ac:dyDescent="0.2">
      <c r="E176" s="5"/>
      <c r="F176" s="5"/>
      <c r="G176" s="5"/>
      <c r="H176" s="5"/>
      <c r="I176" s="5"/>
    </row>
    <row r="177" spans="5:9" x14ac:dyDescent="0.2">
      <c r="E177" s="5"/>
      <c r="F177" s="5"/>
      <c r="G177" s="5"/>
      <c r="H177" s="5"/>
      <c r="I177" s="5"/>
    </row>
    <row r="178" spans="5:9" x14ac:dyDescent="0.2">
      <c r="E178" s="5"/>
      <c r="F178" s="5"/>
      <c r="G178" s="5"/>
      <c r="H178" s="5"/>
      <c r="I178" s="5"/>
    </row>
    <row r="179" spans="5:9" x14ac:dyDescent="0.2">
      <c r="E179" s="5"/>
      <c r="F179" s="5"/>
      <c r="G179" s="5"/>
      <c r="H179" s="5"/>
      <c r="I179" s="5"/>
    </row>
    <row r="180" spans="5:9" x14ac:dyDescent="0.2">
      <c r="E180" s="5"/>
      <c r="F180" s="5"/>
      <c r="G180" s="5"/>
      <c r="H180" s="5"/>
      <c r="I180" s="5"/>
    </row>
    <row r="181" spans="5:9" x14ac:dyDescent="0.2">
      <c r="E181" s="5"/>
      <c r="F181" s="5"/>
      <c r="G181" s="5"/>
      <c r="H181" s="5"/>
      <c r="I181" s="5"/>
    </row>
    <row r="182" spans="5:9" x14ac:dyDescent="0.2">
      <c r="E182" s="5"/>
      <c r="F182" s="5"/>
      <c r="G182" s="5"/>
      <c r="H182" s="5"/>
      <c r="I182" s="5"/>
    </row>
    <row r="183" spans="5:9" x14ac:dyDescent="0.2">
      <c r="E183" s="5"/>
      <c r="F183" s="5"/>
      <c r="G183" s="5"/>
      <c r="H183" s="5"/>
      <c r="I183" s="5"/>
    </row>
    <row r="184" spans="5:9" x14ac:dyDescent="0.2">
      <c r="E184" s="5"/>
      <c r="F184" s="5"/>
      <c r="G184" s="5"/>
      <c r="H184" s="5"/>
      <c r="I184" s="5"/>
    </row>
    <row r="185" spans="5:9" x14ac:dyDescent="0.2">
      <c r="E185" s="5"/>
      <c r="F185" s="5"/>
      <c r="G185" s="5"/>
      <c r="H185" s="5"/>
      <c r="I185" s="5"/>
    </row>
    <row r="186" spans="5:9" x14ac:dyDescent="0.2">
      <c r="E186" s="5"/>
      <c r="F186" s="5"/>
      <c r="G186" s="5"/>
      <c r="H186" s="5"/>
      <c r="I186" s="5"/>
    </row>
    <row r="187" spans="5:9" x14ac:dyDescent="0.2">
      <c r="E187" s="5"/>
      <c r="F187" s="5"/>
      <c r="G187" s="5"/>
      <c r="H187" s="5"/>
      <c r="I187" s="5"/>
    </row>
    <row r="188" spans="5:9" x14ac:dyDescent="0.2">
      <c r="E188" s="5"/>
      <c r="F188" s="5"/>
      <c r="G188" s="5"/>
      <c r="H188" s="5"/>
      <c r="I188" s="5"/>
    </row>
    <row r="189" spans="5:9" x14ac:dyDescent="0.2">
      <c r="E189" s="5"/>
      <c r="F189" s="5"/>
      <c r="G189" s="5"/>
      <c r="H189" s="5"/>
      <c r="I189" s="5"/>
    </row>
    <row r="190" spans="5:9" x14ac:dyDescent="0.2">
      <c r="E190" s="5"/>
      <c r="F190" s="5"/>
      <c r="G190" s="5"/>
      <c r="H190" s="5"/>
      <c r="I190" s="5"/>
    </row>
    <row r="191" spans="5:9" x14ac:dyDescent="0.2">
      <c r="E191" s="5"/>
      <c r="F191" s="5"/>
      <c r="G191" s="5"/>
      <c r="H191" s="5"/>
      <c r="I191" s="5"/>
    </row>
    <row r="192" spans="5:9" x14ac:dyDescent="0.2">
      <c r="E192" s="5"/>
      <c r="F192" s="5"/>
      <c r="G192" s="5"/>
      <c r="H192" s="5"/>
      <c r="I192" s="5"/>
    </row>
    <row r="193" spans="5:9" x14ac:dyDescent="0.2">
      <c r="E193" s="5"/>
      <c r="F193" s="5"/>
      <c r="G193" s="5"/>
      <c r="H193" s="5"/>
      <c r="I193" s="5"/>
    </row>
    <row r="194" spans="5:9" x14ac:dyDescent="0.2">
      <c r="E194" s="5"/>
      <c r="F194" s="5"/>
      <c r="G194" s="5"/>
      <c r="H194" s="5"/>
      <c r="I194" s="5"/>
    </row>
    <row r="195" spans="5:9" x14ac:dyDescent="0.2">
      <c r="E195" s="5"/>
      <c r="F195" s="5"/>
      <c r="G195" s="5"/>
      <c r="H195" s="5"/>
      <c r="I195" s="5"/>
    </row>
    <row r="196" spans="5:9" x14ac:dyDescent="0.2">
      <c r="E196" s="5"/>
      <c r="F196" s="5"/>
      <c r="G196" s="5"/>
      <c r="H196" s="5"/>
      <c r="I196" s="5"/>
    </row>
    <row r="197" spans="5:9" x14ac:dyDescent="0.2">
      <c r="E197" s="5"/>
      <c r="F197" s="5"/>
      <c r="G197" s="5"/>
      <c r="H197" s="5"/>
      <c r="I197" s="5"/>
    </row>
    <row r="198" spans="5:9" x14ac:dyDescent="0.2">
      <c r="E198" s="5"/>
      <c r="F198" s="5"/>
      <c r="G198" s="5"/>
      <c r="H198" s="5"/>
      <c r="I198" s="5"/>
    </row>
    <row r="199" spans="5:9" x14ac:dyDescent="0.2">
      <c r="E199" s="5"/>
      <c r="F199" s="5"/>
      <c r="G199" s="5"/>
      <c r="H199" s="5"/>
      <c r="I199" s="5"/>
    </row>
    <row r="200" spans="5:9" x14ac:dyDescent="0.2">
      <c r="E200" s="5"/>
      <c r="F200" s="5"/>
      <c r="G200" s="5"/>
      <c r="H200" s="5"/>
      <c r="I200" s="5"/>
    </row>
    <row r="201" spans="5:9" x14ac:dyDescent="0.2">
      <c r="E201" s="5"/>
      <c r="F201" s="5"/>
      <c r="G201" s="5"/>
      <c r="H201" s="5"/>
      <c r="I201" s="5"/>
    </row>
    <row r="202" spans="5:9" x14ac:dyDescent="0.2">
      <c r="E202" s="5"/>
      <c r="F202" s="5"/>
      <c r="G202" s="5"/>
      <c r="H202" s="5"/>
      <c r="I202" s="5"/>
    </row>
    <row r="203" spans="5:9" x14ac:dyDescent="0.2">
      <c r="E203" s="5"/>
      <c r="F203" s="5"/>
      <c r="G203" s="5"/>
      <c r="H203" s="5"/>
      <c r="I203" s="5"/>
    </row>
    <row r="204" spans="5:9" x14ac:dyDescent="0.2">
      <c r="E204" s="5"/>
      <c r="F204" s="5"/>
      <c r="G204" s="5"/>
      <c r="H204" s="5"/>
      <c r="I204" s="5"/>
    </row>
    <row r="205" spans="5:9" x14ac:dyDescent="0.2">
      <c r="E205" s="5"/>
      <c r="F205" s="5"/>
      <c r="G205" s="5"/>
      <c r="H205" s="5"/>
      <c r="I205" s="5"/>
    </row>
    <row r="206" spans="5:9" x14ac:dyDescent="0.2">
      <c r="E206" s="5"/>
      <c r="F206" s="5"/>
      <c r="G206" s="5"/>
      <c r="H206" s="5"/>
      <c r="I206" s="5"/>
    </row>
    <row r="207" spans="5:9" x14ac:dyDescent="0.2">
      <c r="E207" s="5"/>
      <c r="F207" s="5"/>
      <c r="G207" s="5"/>
      <c r="H207" s="5"/>
      <c r="I207" s="5"/>
    </row>
    <row r="208" spans="5:9" x14ac:dyDescent="0.2">
      <c r="E208" s="5"/>
      <c r="F208" s="5"/>
      <c r="G208" s="5"/>
      <c r="H208" s="5"/>
      <c r="I208" s="5"/>
    </row>
    <row r="209" spans="5:9" x14ac:dyDescent="0.2">
      <c r="E209" s="5"/>
      <c r="F209" s="5"/>
      <c r="G209" s="5"/>
      <c r="H209" s="5"/>
      <c r="I209" s="5"/>
    </row>
    <row r="210" spans="5:9" x14ac:dyDescent="0.2">
      <c r="E210" s="5"/>
      <c r="F210" s="5"/>
      <c r="G210" s="5"/>
      <c r="H210" s="5"/>
      <c r="I210" s="5"/>
    </row>
    <row r="211" spans="5:9" x14ac:dyDescent="0.2">
      <c r="E211" s="5"/>
      <c r="F211" s="5"/>
      <c r="G211" s="5"/>
      <c r="H211" s="5"/>
      <c r="I211" s="5"/>
    </row>
    <row r="212" spans="5:9" x14ac:dyDescent="0.2">
      <c r="E212" s="5"/>
      <c r="F212" s="5"/>
      <c r="G212" s="5"/>
      <c r="H212" s="5"/>
      <c r="I212" s="5"/>
    </row>
    <row r="213" spans="5:9" x14ac:dyDescent="0.2">
      <c r="E213" s="5"/>
      <c r="F213" s="5"/>
      <c r="G213" s="5"/>
      <c r="H213" s="5"/>
      <c r="I213" s="5"/>
    </row>
    <row r="214" spans="5:9" x14ac:dyDescent="0.2">
      <c r="E214" s="5"/>
      <c r="F214" s="5"/>
      <c r="G214" s="5"/>
      <c r="H214" s="5"/>
      <c r="I214" s="5"/>
    </row>
    <row r="215" spans="5:9" x14ac:dyDescent="0.2">
      <c r="E215" s="5"/>
      <c r="F215" s="5"/>
      <c r="G215" s="5"/>
      <c r="H215" s="5"/>
      <c r="I215" s="5"/>
    </row>
    <row r="216" spans="5:9" x14ac:dyDescent="0.2">
      <c r="E216" s="5"/>
      <c r="F216" s="5"/>
      <c r="G216" s="5"/>
      <c r="H216" s="5"/>
      <c r="I216" s="5"/>
    </row>
    <row r="217" spans="5:9" ht="26.25" customHeight="1" x14ac:dyDescent="0.2">
      <c r="E217" s="5"/>
      <c r="F217" s="5"/>
      <c r="G217" s="5"/>
      <c r="H217" s="5"/>
      <c r="I217" s="5"/>
    </row>
    <row r="218" spans="5:9" ht="26.25" customHeight="1" x14ac:dyDescent="0.2">
      <c r="E218" s="5"/>
      <c r="F218" s="5"/>
      <c r="G218" s="5"/>
      <c r="H218" s="5"/>
      <c r="I218" s="5"/>
    </row>
  </sheetData>
  <mergeCells count="36">
    <mergeCell ref="B124:D124"/>
    <mergeCell ref="B63:E63"/>
    <mergeCell ref="B29:C29"/>
    <mergeCell ref="B30:C30"/>
    <mergeCell ref="B41:I41"/>
    <mergeCell ref="B31:C31"/>
    <mergeCell ref="B32:C32"/>
    <mergeCell ref="B33:C33"/>
    <mergeCell ref="B36:K36"/>
    <mergeCell ref="B34:E34"/>
    <mergeCell ref="B122:E122"/>
    <mergeCell ref="B118:I118"/>
    <mergeCell ref="B39:E39"/>
    <mergeCell ref="B66:M66"/>
    <mergeCell ref="B55:P55"/>
    <mergeCell ref="B2:D2"/>
    <mergeCell ref="B3:H3"/>
    <mergeCell ref="B5:E5"/>
    <mergeCell ref="B6:E6"/>
    <mergeCell ref="B8:G8"/>
    <mergeCell ref="B13:E13"/>
    <mergeCell ref="B15:D15"/>
    <mergeCell ref="B135:E135"/>
    <mergeCell ref="B61:K61"/>
    <mergeCell ref="B62:K62"/>
    <mergeCell ref="B44:E44"/>
    <mergeCell ref="B53:C53"/>
    <mergeCell ref="B64:E64"/>
    <mergeCell ref="B69:E69"/>
    <mergeCell ref="B72:C72"/>
    <mergeCell ref="B128:H128"/>
    <mergeCell ref="B46:C46"/>
    <mergeCell ref="B70:E70"/>
    <mergeCell ref="B116:C116"/>
    <mergeCell ref="B127:C127"/>
    <mergeCell ref="B28:E28"/>
  </mergeCells>
  <hyperlinks>
    <hyperlink ref="H131" r:id="rId1" xr:uid="{00000000-0004-0000-0700-000000000000}"/>
    <hyperlink ref="H130" r:id="rId2" xr:uid="{00000000-0004-0000-0700-000001000000}"/>
    <hyperlink ref="H132" r:id="rId3" xr:uid="{00000000-0004-0000-0700-000002000000}"/>
    <hyperlink ref="D126" r:id="rId4" xr:uid="{00000000-0004-0000-0700-000003000000}"/>
    <hyperlink ref="G12" r:id="rId5" xr:uid="{00000000-0004-0000-0700-000004000000}"/>
    <hyperlink ref="H133" r:id="rId6" xr:uid="{00000000-0004-0000-0700-000005000000}"/>
    <hyperlink ref="E137" r:id="rId7" xr:uid="{00000000-0004-0000-0700-000006000000}"/>
    <hyperlink ref="D21" r:id="rId8" display="Annexes to the Iniventory of U.S. GHG Emissions and Sinks (2015)" xr:uid="{00000000-0004-0000-0700-000007000000}"/>
    <hyperlink ref="G10" r:id="rId9" xr:uid="{00000000-0004-0000-0700-000008000000}"/>
    <hyperlink ref="D22" r:id="rId10" display="Annexes to the Iniventory of U.S. GHG Emissions and Sinks (2015)" xr:uid="{00000000-0004-0000-0700-000009000000}"/>
    <hyperlink ref="F34" r:id="rId11" xr:uid="{00000000-0004-0000-0700-00000A000000}"/>
    <hyperlink ref="D53" r:id="rId12" display="MA DEP 2017 Source" xr:uid="{00000000-0004-0000-0700-00000B000000}"/>
    <hyperlink ref="F64" r:id="rId13" display="MA RFP Information" xr:uid="{00000000-0004-0000-0700-00000C000000}"/>
    <hyperlink ref="D116" r:id="rId14" display="MA DEP 2016 Source" xr:uid="{00000000-0004-0000-0700-00000E000000}"/>
    <hyperlink ref="D18" r:id="rId15" xr:uid="{00000000-0004-0000-0700-00000F000000}"/>
    <hyperlink ref="F63" r:id="rId16" display="MA DEP 2017 Source" xr:uid="{00000000-0004-0000-0700-000010000000}"/>
    <hyperlink ref="F69" r:id="rId17" display="MA DEP 2017 Source" xr:uid="{00000000-0004-0000-0700-000011000000}"/>
  </hyperlinks>
  <pageMargins left="0.7" right="0.7" top="0.75" bottom="0.75" header="0.3" footer="0.3"/>
  <pageSetup orientation="portrait" r:id="rId18"/>
  <drawing r:id="rId19"/>
  <legacyDrawing r:id="rId2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499984740745262"/>
  </sheetPr>
  <dimension ref="B1:Z53"/>
  <sheetViews>
    <sheetView showGridLines="0" topLeftCell="B1" zoomScale="85" zoomScaleNormal="85" workbookViewId="0">
      <selection activeCell="G11" sqref="G11"/>
    </sheetView>
  </sheetViews>
  <sheetFormatPr defaultRowHeight="12.75" x14ac:dyDescent="0.2"/>
  <cols>
    <col min="1" max="1" width="5.42578125" style="6" customWidth="1"/>
    <col min="2" max="2" width="17.28515625" style="6" customWidth="1"/>
    <col min="3" max="3" width="24.7109375" style="6" customWidth="1"/>
    <col min="4" max="23" width="13.5703125" style="6" customWidth="1"/>
    <col min="24" max="16384" width="9.140625" style="6"/>
  </cols>
  <sheetData>
    <row r="1" spans="2:23" s="28" customFormat="1" ht="13.5" thickBot="1" x14ac:dyDescent="0.25"/>
    <row r="2" spans="2:23" s="28" customFormat="1" ht="24" thickBot="1" x14ac:dyDescent="0.25">
      <c r="B2" s="2185" t="s">
        <v>1442</v>
      </c>
      <c r="C2" s="2228"/>
      <c r="D2" s="2228"/>
      <c r="E2" s="2228"/>
      <c r="F2" s="2228"/>
      <c r="G2" s="2229"/>
      <c r="I2" s="302"/>
    </row>
    <row r="3" spans="2:23" s="28" customFormat="1" ht="13.5" customHeight="1" x14ac:dyDescent="0.2">
      <c r="B3" s="303" t="s">
        <v>247</v>
      </c>
      <c r="C3" s="2230" t="s">
        <v>195</v>
      </c>
      <c r="D3" s="2231"/>
      <c r="E3" s="2231"/>
      <c r="F3" s="2231"/>
      <c r="G3" s="2232"/>
      <c r="H3" s="116"/>
    </row>
    <row r="4" spans="2:23" s="28" customFormat="1" ht="13.5" customHeight="1" thickBot="1" x14ac:dyDescent="0.25">
      <c r="B4" s="225" t="s">
        <v>248</v>
      </c>
      <c r="C4" s="2233" t="s">
        <v>255</v>
      </c>
      <c r="D4" s="2220"/>
      <c r="E4" s="2220"/>
      <c r="F4" s="2220"/>
      <c r="G4" s="2221"/>
      <c r="H4" s="116"/>
    </row>
    <row r="5" spans="2:23" s="28" customFormat="1" ht="13.5" customHeight="1" thickBot="1" x14ac:dyDescent="0.25">
      <c r="B5" s="215"/>
      <c r="C5" s="215"/>
      <c r="D5" s="215"/>
      <c r="E5" s="215"/>
      <c r="F5" s="116"/>
      <c r="G5" s="116"/>
      <c r="H5" s="116"/>
    </row>
    <row r="6" spans="2:23" s="28" customFormat="1" ht="16.5" customHeight="1" thickBot="1" x14ac:dyDescent="0.25">
      <c r="B6" s="2222" t="s">
        <v>91</v>
      </c>
      <c r="C6" s="2223"/>
      <c r="D6" s="2223"/>
      <c r="E6" s="2223"/>
      <c r="F6" s="2223"/>
      <c r="G6" s="2223"/>
      <c r="H6" s="2223"/>
      <c r="I6" s="2223"/>
      <c r="J6" s="2223"/>
      <c r="K6" s="2223"/>
      <c r="L6" s="2224"/>
    </row>
    <row r="7" spans="2:23" s="28" customFormat="1" ht="45" customHeight="1" thickBot="1" x14ac:dyDescent="0.25">
      <c r="B7" s="2093" t="s">
        <v>1138</v>
      </c>
      <c r="C7" s="2220"/>
      <c r="D7" s="2220"/>
      <c r="E7" s="2220"/>
      <c r="F7" s="2220"/>
      <c r="G7" s="2220"/>
      <c r="H7" s="2220"/>
      <c r="I7" s="2220"/>
      <c r="J7" s="2220"/>
      <c r="K7" s="2220"/>
      <c r="L7" s="2221"/>
    </row>
    <row r="8" spans="2:23" s="28" customFormat="1" ht="13.5" thickBot="1" x14ac:dyDescent="0.25"/>
    <row r="9" spans="2:23" s="28" customFormat="1" ht="17.25" customHeight="1" thickBot="1" x14ac:dyDescent="0.25">
      <c r="B9" s="2225" t="s">
        <v>211</v>
      </c>
      <c r="C9" s="1965"/>
      <c r="D9" s="1965"/>
      <c r="E9" s="1965"/>
      <c r="F9" s="1965"/>
      <c r="G9" s="1965"/>
      <c r="H9" s="1965"/>
      <c r="I9" s="1965"/>
      <c r="J9" s="1965"/>
      <c r="K9" s="1965"/>
      <c r="L9" s="1965"/>
      <c r="M9" s="1965"/>
      <c r="N9" s="1965"/>
      <c r="O9" s="1965"/>
      <c r="P9" s="1965"/>
      <c r="Q9" s="1965"/>
      <c r="R9" s="1965"/>
      <c r="S9" s="1965"/>
      <c r="T9" s="1965"/>
      <c r="U9" s="1965"/>
      <c r="V9" s="1965"/>
      <c r="W9" s="1966"/>
    </row>
    <row r="10" spans="2:23" ht="88.5" customHeight="1" x14ac:dyDescent="0.2">
      <c r="B10" s="81" t="s">
        <v>85</v>
      </c>
      <c r="C10" s="998" t="s">
        <v>103</v>
      </c>
      <c r="D10" s="1019" t="s">
        <v>32</v>
      </c>
      <c r="E10" s="358" t="s">
        <v>319</v>
      </c>
      <c r="F10" s="1020" t="s">
        <v>320</v>
      </c>
      <c r="G10" s="1009" t="s">
        <v>96</v>
      </c>
      <c r="H10" s="359" t="s">
        <v>322</v>
      </c>
      <c r="I10" s="359" t="s">
        <v>321</v>
      </c>
      <c r="J10" s="359" t="s">
        <v>323</v>
      </c>
      <c r="K10" s="359" t="s">
        <v>209</v>
      </c>
      <c r="L10" s="359" t="s">
        <v>324</v>
      </c>
      <c r="M10" s="359" t="s">
        <v>325</v>
      </c>
      <c r="N10" s="1010" t="s">
        <v>326</v>
      </c>
      <c r="O10" s="1003" t="s">
        <v>62</v>
      </c>
      <c r="P10" s="360" t="s">
        <v>328</v>
      </c>
      <c r="Q10" s="360" t="s">
        <v>327</v>
      </c>
      <c r="R10" s="984" t="s">
        <v>329</v>
      </c>
      <c r="S10" s="967" t="s">
        <v>330</v>
      </c>
      <c r="T10" s="956" t="s">
        <v>331</v>
      </c>
      <c r="U10" s="914" t="s">
        <v>334</v>
      </c>
      <c r="V10" s="915" t="s">
        <v>335</v>
      </c>
      <c r="W10" s="916" t="s">
        <v>336</v>
      </c>
    </row>
    <row r="11" spans="2:23" s="28" customFormat="1" x14ac:dyDescent="0.2">
      <c r="B11" s="2234" t="s">
        <v>196</v>
      </c>
      <c r="C11" s="999" t="s">
        <v>390</v>
      </c>
      <c r="D11" s="1011">
        <f>'Stationary Energy - Buildings'!E11</f>
        <v>0</v>
      </c>
      <c r="E11" s="948"/>
      <c r="F11" s="1021">
        <f>'Stationary Energy - Buildings'!$I$11</f>
        <v>0</v>
      </c>
      <c r="G11" s="1011">
        <f>'Stationary Energy - Buildings'!D11</f>
        <v>0</v>
      </c>
      <c r="H11" s="496">
        <f>'Stationary Energy - Buildings'!F11</f>
        <v>0</v>
      </c>
      <c r="I11" s="497">
        <f>'Stationary Energy - Buildings'!G11</f>
        <v>0</v>
      </c>
      <c r="J11" s="496">
        <f>'Stationary Energy - Buildings'!H11</f>
        <v>0</v>
      </c>
      <c r="K11" s="948"/>
      <c r="L11" s="948"/>
      <c r="M11" s="948"/>
      <c r="N11" s="985"/>
      <c r="O11" s="968"/>
      <c r="P11" s="948"/>
      <c r="Q11" s="948"/>
      <c r="R11" s="985"/>
      <c r="S11" s="968"/>
      <c r="T11" s="957"/>
      <c r="U11" s="977">
        <f>SUM(E11,H11,L11,P11,S11)</f>
        <v>0</v>
      </c>
      <c r="V11" s="497">
        <f>SUM(F11,I11,M11,Q11,T11)</f>
        <v>0</v>
      </c>
      <c r="W11" s="498">
        <f>SUM(J11,N11,R11)</f>
        <v>0</v>
      </c>
    </row>
    <row r="12" spans="2:23" s="28" customFormat="1" x14ac:dyDescent="0.2">
      <c r="B12" s="2234"/>
      <c r="C12" s="1000" t="s">
        <v>391</v>
      </c>
      <c r="D12" s="986"/>
      <c r="E12" s="947"/>
      <c r="F12" s="987"/>
      <c r="G12" s="988">
        <f>'Stationary Energy - Buildings'!D12</f>
        <v>0</v>
      </c>
      <c r="H12" s="401" t="e">
        <f>'Stationary Energy - Buildings'!F12</f>
        <v>#DIV/0!</v>
      </c>
      <c r="I12" s="404" t="e">
        <f>'Stationary Energy - Buildings'!G12</f>
        <v>#DIV/0!</v>
      </c>
      <c r="J12" s="401" t="e">
        <f>'Stationary Energy - Buildings'!H12</f>
        <v>#DIV/0!</v>
      </c>
      <c r="K12" s="947"/>
      <c r="L12" s="947"/>
      <c r="M12" s="947"/>
      <c r="N12" s="987"/>
      <c r="O12" s="969"/>
      <c r="P12" s="947"/>
      <c r="Q12" s="947"/>
      <c r="R12" s="987"/>
      <c r="S12" s="969"/>
      <c r="T12" s="958"/>
      <c r="U12" s="449" t="e">
        <f t="shared" ref="U12:U27" si="0">SUM(E12,H12,L12,P12,S12)</f>
        <v>#DIV/0!</v>
      </c>
      <c r="V12" s="404" t="e">
        <f t="shared" ref="V12:V14" si="1">SUM(F12,I12,M12,Q12,T12)</f>
        <v>#DIV/0!</v>
      </c>
      <c r="W12" s="407" t="e">
        <f t="shared" ref="W12:W14" si="2">SUM(J12,N12,R12)</f>
        <v>#DIV/0!</v>
      </c>
    </row>
    <row r="13" spans="2:23" s="28" customFormat="1" x14ac:dyDescent="0.2">
      <c r="B13" s="2234"/>
      <c r="C13" s="1000" t="s">
        <v>454</v>
      </c>
      <c r="D13" s="988">
        <f>'Stationary Energy - Buildings'!E13</f>
        <v>0</v>
      </c>
      <c r="E13" s="947"/>
      <c r="F13" s="669">
        <f>'Stationary Energy - Buildings'!I13</f>
        <v>0</v>
      </c>
      <c r="G13" s="988">
        <f>'Stationary Energy - Buildings'!D13</f>
        <v>0</v>
      </c>
      <c r="H13" s="401">
        <f>'Stationary Energy - Buildings'!F13</f>
        <v>0</v>
      </c>
      <c r="I13" s="401">
        <f>'Stationary Energy - Buildings'!G13</f>
        <v>0</v>
      </c>
      <c r="J13" s="401">
        <f>'Stationary Energy - Buildings'!H13</f>
        <v>0</v>
      </c>
      <c r="K13" s="947"/>
      <c r="L13" s="947"/>
      <c r="M13" s="947"/>
      <c r="N13" s="987"/>
      <c r="O13" s="969"/>
      <c r="P13" s="947"/>
      <c r="Q13" s="947"/>
      <c r="R13" s="987"/>
      <c r="S13" s="969"/>
      <c r="T13" s="958"/>
      <c r="U13" s="449">
        <f>SUM(E13,H13,L13,P13,S13)</f>
        <v>0</v>
      </c>
      <c r="V13" s="404">
        <f>SUM(F13,I13,M13,Q13,T13)</f>
        <v>0</v>
      </c>
      <c r="W13" s="407">
        <f t="shared" si="2"/>
        <v>0</v>
      </c>
    </row>
    <row r="14" spans="2:23" s="28" customFormat="1" x14ac:dyDescent="0.2">
      <c r="B14" s="2234"/>
      <c r="C14" s="1000" t="s">
        <v>208</v>
      </c>
      <c r="D14" s="988">
        <f>'Stationary Energy - Buildings'!E222</f>
        <v>0</v>
      </c>
      <c r="E14" s="404">
        <f>'Stationary Energy - Buildings'!F222</f>
        <v>0</v>
      </c>
      <c r="F14" s="407">
        <f>'Stationary Energy - Buildings'!G222</f>
        <v>0</v>
      </c>
      <c r="G14" s="986"/>
      <c r="H14" s="947"/>
      <c r="I14" s="947"/>
      <c r="J14" s="947"/>
      <c r="K14" s="404" t="e">
        <f>'Stationary Energy - Buildings'!E216</f>
        <v>#DIV/0!</v>
      </c>
      <c r="L14" s="401" t="e">
        <f>'Stationary Energy - Buildings'!F216</f>
        <v>#DIV/0!</v>
      </c>
      <c r="M14" s="404" t="e">
        <f>'Stationary Energy - Buildings'!G216</f>
        <v>#DIV/0!</v>
      </c>
      <c r="N14" s="407" t="e">
        <f>'Stationary Energy - Buildings'!H216</f>
        <v>#DIV/0!</v>
      </c>
      <c r="O14" s="969"/>
      <c r="P14" s="947"/>
      <c r="Q14" s="947"/>
      <c r="R14" s="987"/>
      <c r="S14" s="969"/>
      <c r="T14" s="958"/>
      <c r="U14" s="449" t="e">
        <f t="shared" si="0"/>
        <v>#DIV/0!</v>
      </c>
      <c r="V14" s="404" t="e">
        <f t="shared" si="1"/>
        <v>#DIV/0!</v>
      </c>
      <c r="W14" s="407" t="e">
        <f t="shared" si="2"/>
        <v>#DIV/0!</v>
      </c>
    </row>
    <row r="15" spans="2:23" s="28" customFormat="1" x14ac:dyDescent="0.2">
      <c r="B15" s="2234"/>
      <c r="C15" s="1000" t="s">
        <v>33</v>
      </c>
      <c r="D15" s="986"/>
      <c r="E15" s="947"/>
      <c r="F15" s="987"/>
      <c r="G15" s="986"/>
      <c r="H15" s="947"/>
      <c r="I15" s="947"/>
      <c r="J15" s="947"/>
      <c r="K15" s="947"/>
      <c r="L15" s="947"/>
      <c r="M15" s="947"/>
      <c r="N15" s="987"/>
      <c r="O15" s="1004">
        <f>'Stationary Energy - Buildings'!C32</f>
        <v>0</v>
      </c>
      <c r="P15" s="401">
        <f>'Stationary Energy - Buildings'!E32</f>
        <v>0</v>
      </c>
      <c r="Q15" s="401">
        <f>'Stationary Energy - Buildings'!F32</f>
        <v>0</v>
      </c>
      <c r="R15" s="407">
        <f>'Stationary Energy - Buildings'!G32</f>
        <v>0</v>
      </c>
      <c r="S15" s="969"/>
      <c r="T15" s="958"/>
      <c r="U15" s="1529">
        <f>SUM(E15,H15,L15,P15,S15)</f>
        <v>0</v>
      </c>
      <c r="V15" s="404">
        <f t="shared" ref="V15" si="3">SUM(F15,I15,M15,Q15,T15)</f>
        <v>0</v>
      </c>
      <c r="W15" s="407">
        <f t="shared" ref="W15" si="4">SUM(J15,N15,R15)</f>
        <v>0</v>
      </c>
    </row>
    <row r="16" spans="2:23" s="28" customFormat="1" x14ac:dyDescent="0.2">
      <c r="B16" s="2234"/>
      <c r="C16" s="321" t="s">
        <v>570</v>
      </c>
      <c r="D16" s="989"/>
      <c r="E16" s="949"/>
      <c r="F16" s="990"/>
      <c r="G16" s="1012" t="e">
        <f>'Stationary Energy - Buildings'!D14</f>
        <v>#DIV/0!</v>
      </c>
      <c r="H16" s="811" t="e">
        <f>'Stationary Energy - Buildings'!F14</f>
        <v>#DIV/0!</v>
      </c>
      <c r="I16" s="431" t="e">
        <f>'Stationary Energy - Buildings'!G14</f>
        <v>#DIV/0!</v>
      </c>
      <c r="J16" s="812" t="e">
        <f>'Stationary Energy - Buildings'!H14</f>
        <v>#DIV/0!</v>
      </c>
      <c r="K16" s="949"/>
      <c r="L16" s="949"/>
      <c r="M16" s="949"/>
      <c r="N16" s="990"/>
      <c r="O16" s="970"/>
      <c r="P16" s="949"/>
      <c r="Q16" s="949"/>
      <c r="R16" s="990"/>
      <c r="S16" s="970"/>
      <c r="T16" s="959"/>
      <c r="U16" s="978" t="e">
        <f t="shared" si="0"/>
        <v>#DIV/0!</v>
      </c>
      <c r="V16" s="431" t="e">
        <f t="shared" ref="V16" si="5">SUM(F16,I16,M16,Q16,T16)</f>
        <v>#DIV/0!</v>
      </c>
      <c r="W16" s="810" t="e">
        <f t="shared" ref="W16" si="6">SUM(J16,N16,R16)</f>
        <v>#DIV/0!</v>
      </c>
    </row>
    <row r="17" spans="2:26" s="28" customFormat="1" ht="13.5" thickBot="1" x14ac:dyDescent="0.25">
      <c r="B17" s="2235"/>
      <c r="C17" s="1001" t="s">
        <v>204</v>
      </c>
      <c r="D17" s="1483">
        <f>SUM(D11:D16)</f>
        <v>0</v>
      </c>
      <c r="E17" s="801">
        <f t="shared" ref="E17" si="7">SUM(E11:E16)</f>
        <v>0</v>
      </c>
      <c r="F17" s="991">
        <f>SUM(F11:F16)</f>
        <v>0</v>
      </c>
      <c r="G17" s="1483" t="e">
        <f t="shared" ref="G17" si="8">SUM(G11:G16)</f>
        <v>#DIV/0!</v>
      </c>
      <c r="H17" s="801">
        <f>SUMIF(H11:H16,"&lt;&gt;#DIV/0!",H11:H16)</f>
        <v>0</v>
      </c>
      <c r="I17" s="801">
        <f t="shared" ref="I17:J17" si="9">SUMIF(I11:I16,"&lt;&gt;#DIV/0!",I11:I16)</f>
        <v>0</v>
      </c>
      <c r="J17" s="801">
        <f t="shared" si="9"/>
        <v>0</v>
      </c>
      <c r="K17" s="801" t="e">
        <f>SUM(K11:K16)</f>
        <v>#DIV/0!</v>
      </c>
      <c r="L17" s="801">
        <f>SUMIF(L11:L16,"&lt;&gt;#DIV/0!",L11:L16)</f>
        <v>0</v>
      </c>
      <c r="M17" s="801">
        <f t="shared" ref="M17:N17" si="10">SUMIF(M11:M16,"&lt;&gt;#DIV/0!",M11:M16)</f>
        <v>0</v>
      </c>
      <c r="N17" s="801">
        <f t="shared" si="10"/>
        <v>0</v>
      </c>
      <c r="O17" s="971">
        <f>SUM(O11:O16)</f>
        <v>0</v>
      </c>
      <c r="P17" s="801">
        <f t="shared" ref="P17:R17" si="11">SUM(P11:P16)</f>
        <v>0</v>
      </c>
      <c r="Q17" s="801">
        <f t="shared" si="11"/>
        <v>0</v>
      </c>
      <c r="R17" s="991">
        <f t="shared" si="11"/>
        <v>0</v>
      </c>
      <c r="S17" s="971">
        <f>SUM(S11:S14)</f>
        <v>0</v>
      </c>
      <c r="T17" s="960">
        <f>SUM(T11:T14)</f>
        <v>0</v>
      </c>
      <c r="U17" s="979">
        <f>SUM(E17,H17,L17,P17,S17)</f>
        <v>0</v>
      </c>
      <c r="V17" s="801">
        <f>SUM(F17,I17,M17,Q15,T17)</f>
        <v>0</v>
      </c>
      <c r="W17" s="802">
        <f>SUM(J17,N17,R15)</f>
        <v>0</v>
      </c>
    </row>
    <row r="18" spans="2:26" x14ac:dyDescent="0.2">
      <c r="B18" s="2236" t="s">
        <v>571</v>
      </c>
      <c r="C18" s="320" t="s">
        <v>460</v>
      </c>
      <c r="D18" s="1013">
        <f>'Stationary Energy - Buildings'!E16</f>
        <v>0</v>
      </c>
      <c r="E18" s="950"/>
      <c r="F18" s="1022">
        <f>'Stationary Energy - Buildings'!I16</f>
        <v>0</v>
      </c>
      <c r="G18" s="1013">
        <f>'Stationary Energy - Buildings'!D16</f>
        <v>0</v>
      </c>
      <c r="H18" s="180">
        <f>'Stationary Energy - Buildings'!F16</f>
        <v>0</v>
      </c>
      <c r="I18" s="180">
        <f>'Stationary Energy - Buildings'!G16</f>
        <v>0</v>
      </c>
      <c r="J18" s="809">
        <f>'Stationary Energy - Buildings'!H16</f>
        <v>0</v>
      </c>
      <c r="K18" s="950"/>
      <c r="L18" s="950"/>
      <c r="M18" s="950"/>
      <c r="N18" s="992"/>
      <c r="O18" s="1005"/>
      <c r="P18" s="950"/>
      <c r="Q18" s="950"/>
      <c r="R18" s="992"/>
      <c r="S18" s="972"/>
      <c r="T18" s="961"/>
      <c r="U18" s="980">
        <f t="shared" si="0"/>
        <v>0</v>
      </c>
      <c r="V18" s="405">
        <f t="shared" ref="V18" si="12">SUM(F18,I18,M18,Q18,T18)</f>
        <v>0</v>
      </c>
      <c r="W18" s="408">
        <f t="shared" ref="W18" si="13">SUM(J18,N18,R18)</f>
        <v>0</v>
      </c>
      <c r="Z18" s="322"/>
    </row>
    <row r="19" spans="2:26" x14ac:dyDescent="0.2">
      <c r="B19" s="2234"/>
      <c r="C19" s="1000" t="s">
        <v>461</v>
      </c>
      <c r="D19" s="993"/>
      <c r="E19" s="951"/>
      <c r="F19" s="994"/>
      <c r="G19" s="930">
        <f>'Stationary Energy - Buildings'!D17</f>
        <v>0</v>
      </c>
      <c r="H19" s="182" t="e">
        <f>'Stationary Energy - Buildings'!F17</f>
        <v>#DIV/0!</v>
      </c>
      <c r="I19" s="182" t="e">
        <f>'Stationary Energy - Buildings'!G17</f>
        <v>#DIV/0!</v>
      </c>
      <c r="J19" s="805" t="e">
        <f>'Stationary Energy - Buildings'!H17</f>
        <v>#DIV/0!</v>
      </c>
      <c r="K19" s="951"/>
      <c r="L19" s="951"/>
      <c r="M19" s="951"/>
      <c r="N19" s="994"/>
      <c r="O19" s="973"/>
      <c r="P19" s="951"/>
      <c r="Q19" s="951"/>
      <c r="R19" s="994"/>
      <c r="S19" s="973"/>
      <c r="T19" s="962"/>
      <c r="U19" s="449" t="e">
        <f t="shared" si="0"/>
        <v>#DIV/0!</v>
      </c>
      <c r="V19" s="404" t="e">
        <f t="shared" ref="V19:V24" si="14">SUM(F19,I19,M19,Q19,T19)</f>
        <v>#DIV/0!</v>
      </c>
      <c r="W19" s="407" t="e">
        <f t="shared" ref="W19:W24" si="15">SUM(J19,N19,R19)</f>
        <v>#DIV/0!</v>
      </c>
      <c r="Z19" s="322"/>
    </row>
    <row r="20" spans="2:26" s="28" customFormat="1" x14ac:dyDescent="0.2">
      <c r="B20" s="2234"/>
      <c r="C20" s="1000" t="s">
        <v>462</v>
      </c>
      <c r="D20" s="930">
        <f>'Stationary Energy - Buildings'!E18</f>
        <v>0</v>
      </c>
      <c r="E20" s="947"/>
      <c r="F20" s="1484">
        <f>'Stationary Energy - Buildings'!I18</f>
        <v>0</v>
      </c>
      <c r="G20" s="930">
        <f>'Stationary Energy - Buildings'!D18</f>
        <v>0</v>
      </c>
      <c r="H20" s="182">
        <f>'Stationary Energy - Buildings'!F18</f>
        <v>0</v>
      </c>
      <c r="I20" s="182">
        <f>'Stationary Energy - Buildings'!G18</f>
        <v>0</v>
      </c>
      <c r="J20" s="805">
        <f>'Stationary Energy - Buildings'!H18</f>
        <v>0</v>
      </c>
      <c r="K20" s="951"/>
      <c r="L20" s="951"/>
      <c r="M20" s="951"/>
      <c r="N20" s="994"/>
      <c r="O20" s="969"/>
      <c r="P20" s="947"/>
      <c r="Q20" s="947"/>
      <c r="R20" s="987"/>
      <c r="S20" s="969"/>
      <c r="T20" s="958"/>
      <c r="U20" s="449">
        <f t="shared" si="0"/>
        <v>0</v>
      </c>
      <c r="V20" s="404">
        <f>SUM(F20,I20,M20,Q20,T20)</f>
        <v>0</v>
      </c>
      <c r="W20" s="407">
        <f t="shared" si="15"/>
        <v>0</v>
      </c>
      <c r="Z20" s="323"/>
    </row>
    <row r="21" spans="2:26" s="28" customFormat="1" x14ac:dyDescent="0.2">
      <c r="B21" s="2234"/>
      <c r="C21" s="1000" t="s">
        <v>210</v>
      </c>
      <c r="D21" s="930">
        <f>'Stationary Energy - Buildings'!E223</f>
        <v>0</v>
      </c>
      <c r="E21" s="182">
        <f>'Stationary Energy - Buildings'!F223</f>
        <v>0</v>
      </c>
      <c r="F21" s="1484">
        <f>'Stationary Energy - Buildings'!G223</f>
        <v>0</v>
      </c>
      <c r="G21" s="993"/>
      <c r="H21" s="951"/>
      <c r="I21" s="951"/>
      <c r="J21" s="951"/>
      <c r="K21" s="182">
        <f>'Stationary Energy - Buildings'!E217</f>
        <v>0</v>
      </c>
      <c r="L21" s="805" t="e">
        <f>'Stationary Energy - Buildings'!F217</f>
        <v>#DIV/0!</v>
      </c>
      <c r="M21" s="182" t="e">
        <f>'Stationary Energy - Buildings'!G217</f>
        <v>#DIV/0!</v>
      </c>
      <c r="N21" s="413" t="e">
        <f>'Stationary Energy - Buildings'!H217</f>
        <v>#DIV/0!</v>
      </c>
      <c r="O21" s="969"/>
      <c r="P21" s="947"/>
      <c r="Q21" s="947"/>
      <c r="R21" s="987"/>
      <c r="S21" s="969"/>
      <c r="T21" s="958"/>
      <c r="U21" s="449" t="e">
        <f t="shared" si="0"/>
        <v>#DIV/0!</v>
      </c>
      <c r="V21" s="404" t="e">
        <f t="shared" si="14"/>
        <v>#DIV/0!</v>
      </c>
      <c r="W21" s="407" t="e">
        <f t="shared" si="15"/>
        <v>#DIV/0!</v>
      </c>
    </row>
    <row r="22" spans="2:26" s="28" customFormat="1" x14ac:dyDescent="0.2">
      <c r="B22" s="2234"/>
      <c r="C22" s="1000" t="s">
        <v>33</v>
      </c>
      <c r="D22" s="993"/>
      <c r="E22" s="951"/>
      <c r="F22" s="994"/>
      <c r="G22" s="993"/>
      <c r="H22" s="951"/>
      <c r="I22" s="951"/>
      <c r="J22" s="951"/>
      <c r="K22" s="951"/>
      <c r="L22" s="951"/>
      <c r="M22" s="951"/>
      <c r="N22" s="994"/>
      <c r="O22" s="1004">
        <f>SUM('Stationary Energy - Buildings'!C33:C35)</f>
        <v>0</v>
      </c>
      <c r="P22" s="401">
        <f>SUM('Stationary Energy - Buildings'!E33:E35)</f>
        <v>0</v>
      </c>
      <c r="Q22" s="401">
        <f>SUM('Stationary Energy - Buildings'!F33:F35)</f>
        <v>0</v>
      </c>
      <c r="R22" s="407">
        <f>SUM('Stationary Energy - Buildings'!G33:G35)</f>
        <v>0</v>
      </c>
      <c r="S22" s="969"/>
      <c r="T22" s="958"/>
      <c r="U22" s="449">
        <f t="shared" ref="U22" si="16">SUM(E22,H22,L22,P22,S22)</f>
        <v>0</v>
      </c>
      <c r="V22" s="404">
        <f t="shared" ref="V22" si="17">SUM(F22,I22,M22,Q22,T22)</f>
        <v>0</v>
      </c>
      <c r="W22" s="407">
        <f t="shared" ref="W22" si="18">SUM(J22,N22,R22)</f>
        <v>0</v>
      </c>
    </row>
    <row r="23" spans="2:26" s="28" customFormat="1" x14ac:dyDescent="0.2">
      <c r="B23" s="2234"/>
      <c r="C23" s="1000" t="s">
        <v>570</v>
      </c>
      <c r="D23" s="993"/>
      <c r="E23" s="951"/>
      <c r="F23" s="994"/>
      <c r="G23" s="930" t="e">
        <f>'Stationary Energy - Buildings'!D19</f>
        <v>#DIV/0!</v>
      </c>
      <c r="H23" s="808" t="e">
        <f>'Stationary Energy - Buildings'!F19</f>
        <v>#DIV/0!</v>
      </c>
      <c r="I23" s="182" t="e">
        <f>'Stationary Energy - Buildings'!G19</f>
        <v>#DIV/0!</v>
      </c>
      <c r="J23" s="808" t="e">
        <f>'Stationary Energy - Buildings'!H19</f>
        <v>#DIV/0!</v>
      </c>
      <c r="K23" s="951"/>
      <c r="L23" s="951"/>
      <c r="M23" s="951"/>
      <c r="N23" s="994"/>
      <c r="O23" s="969"/>
      <c r="P23" s="947"/>
      <c r="Q23" s="947"/>
      <c r="R23" s="987"/>
      <c r="S23" s="969"/>
      <c r="T23" s="958"/>
      <c r="U23" s="449" t="e">
        <f t="shared" si="0"/>
        <v>#DIV/0!</v>
      </c>
      <c r="V23" s="404" t="e">
        <f t="shared" si="14"/>
        <v>#DIV/0!</v>
      </c>
      <c r="W23" s="407" t="e">
        <f t="shared" si="15"/>
        <v>#DIV/0!</v>
      </c>
    </row>
    <row r="24" spans="2:26" s="28" customFormat="1" x14ac:dyDescent="0.2">
      <c r="B24" s="2234"/>
      <c r="C24" s="321" t="s">
        <v>19</v>
      </c>
      <c r="D24" s="1014"/>
      <c r="E24" s="952"/>
      <c r="F24" s="1015"/>
      <c r="G24" s="1014"/>
      <c r="H24" s="952"/>
      <c r="I24" s="952"/>
      <c r="J24" s="952"/>
      <c r="K24" s="952"/>
      <c r="L24" s="952"/>
      <c r="M24" s="952"/>
      <c r="N24" s="1015"/>
      <c r="O24" s="970"/>
      <c r="P24" s="949"/>
      <c r="Q24" s="949"/>
      <c r="R24" s="990"/>
      <c r="S24" s="974" t="e">
        <f>SUM('Stationary Energy - Off Road'!N16:N17)</f>
        <v>#DIV/0!</v>
      </c>
      <c r="T24" s="963" t="e">
        <f>SUM('Stationary Energy - Off Road'!O16:O17)</f>
        <v>#DIV/0!</v>
      </c>
      <c r="U24" s="978" t="e">
        <f t="shared" si="0"/>
        <v>#DIV/0!</v>
      </c>
      <c r="V24" s="431" t="e">
        <f t="shared" si="14"/>
        <v>#DIV/0!</v>
      </c>
      <c r="W24" s="810">
        <f t="shared" si="15"/>
        <v>0</v>
      </c>
    </row>
    <row r="25" spans="2:26" s="28" customFormat="1" ht="13.5" thickBot="1" x14ac:dyDescent="0.25">
      <c r="B25" s="2227"/>
      <c r="C25" s="316" t="s">
        <v>203</v>
      </c>
      <c r="D25" s="1478">
        <f>SUM(D18:D24)</f>
        <v>0</v>
      </c>
      <c r="E25" s="179">
        <f t="shared" ref="E25:R25" si="19">SUM(E18:E24)</f>
        <v>0</v>
      </c>
      <c r="F25" s="1479">
        <f>SUM(F18:F24)</f>
        <v>0</v>
      </c>
      <c r="G25" s="1478" t="e">
        <f t="shared" si="19"/>
        <v>#DIV/0!</v>
      </c>
      <c r="H25" s="179">
        <f>SUMIF(H18:H24,"&lt;&gt;#DIV/0!",H18:H24)</f>
        <v>0</v>
      </c>
      <c r="I25" s="179">
        <f t="shared" ref="I25:L25" si="20">SUMIF(I18:I24,"&lt;&gt;#DIV/0!",I18:I24)</f>
        <v>0</v>
      </c>
      <c r="J25" s="179">
        <f t="shared" si="20"/>
        <v>0</v>
      </c>
      <c r="K25" s="179">
        <f t="shared" si="19"/>
        <v>0</v>
      </c>
      <c r="L25" s="179">
        <f t="shared" si="20"/>
        <v>0</v>
      </c>
      <c r="M25" s="179">
        <f t="shared" ref="M25" si="21">SUMIF(M18:M24,"&lt;&gt;#DIV/0!",M18:M24)</f>
        <v>0</v>
      </c>
      <c r="N25" s="179">
        <f t="shared" ref="N25" si="22">SUMIF(N18:N24,"&lt;&gt;#DIV/0!",N18:N24)</f>
        <v>0</v>
      </c>
      <c r="O25" s="1480">
        <f t="shared" si="19"/>
        <v>0</v>
      </c>
      <c r="P25" s="1532">
        <f t="shared" si="19"/>
        <v>0</v>
      </c>
      <c r="Q25" s="179">
        <f t="shared" si="19"/>
        <v>0</v>
      </c>
      <c r="R25" s="1479">
        <f t="shared" si="19"/>
        <v>0</v>
      </c>
      <c r="S25" s="1481" t="e">
        <f t="shared" ref="S25:T25" si="23">SUM(S18:S24)</f>
        <v>#DIV/0!</v>
      </c>
      <c r="T25" s="1482" t="e">
        <f t="shared" si="23"/>
        <v>#DIV/0!</v>
      </c>
      <c r="U25" s="981" t="e">
        <f>SUM(E25,H25,L25,P22,S25)</f>
        <v>#DIV/0!</v>
      </c>
      <c r="V25" s="799" t="e">
        <f>SUM(F25,I25,M25,Q22,T25)</f>
        <v>#DIV/0!</v>
      </c>
      <c r="W25" s="562">
        <f>SUM(J25,N25,R22)</f>
        <v>0</v>
      </c>
    </row>
    <row r="26" spans="2:26" s="28" customFormat="1" x14ac:dyDescent="0.2">
      <c r="B26" s="2226" t="s">
        <v>589</v>
      </c>
      <c r="C26" s="1002" t="s">
        <v>19</v>
      </c>
      <c r="D26" s="1016"/>
      <c r="E26" s="953"/>
      <c r="F26" s="1017"/>
      <c r="G26" s="1016"/>
      <c r="H26" s="953"/>
      <c r="I26" s="953"/>
      <c r="J26" s="953"/>
      <c r="K26" s="953"/>
      <c r="L26" s="953"/>
      <c r="M26" s="953"/>
      <c r="N26" s="1017"/>
      <c r="O26" s="1006"/>
      <c r="P26" s="954"/>
      <c r="Q26" s="954"/>
      <c r="R26" s="995"/>
      <c r="S26" s="975" t="e">
        <f>'Stationary Energy - Off Road'!N18</f>
        <v>#DIV/0!</v>
      </c>
      <c r="T26" s="964" t="e">
        <f>'Stationary Energy - Off Road'!O18</f>
        <v>#DIV/0!</v>
      </c>
      <c r="U26" s="982" t="e">
        <f t="shared" ref="U26" si="24">SUM(E26,H26,L26,P26,S26)</f>
        <v>#DIV/0!</v>
      </c>
      <c r="V26" s="803" t="e">
        <f t="shared" ref="V26" si="25">SUM(F26,I26,M26,Q26,T26)</f>
        <v>#DIV/0!</v>
      </c>
      <c r="W26" s="804">
        <f t="shared" ref="W26" si="26">SUM(J26,N26,R26)</f>
        <v>0</v>
      </c>
    </row>
    <row r="27" spans="2:26" s="28" customFormat="1" ht="13.5" thickBot="1" x14ac:dyDescent="0.25">
      <c r="B27" s="2227"/>
      <c r="C27" s="316" t="s">
        <v>1431</v>
      </c>
      <c r="D27" s="1394"/>
      <c r="E27" s="1306"/>
      <c r="F27" s="1395"/>
      <c r="G27" s="1394"/>
      <c r="H27" s="1306"/>
      <c r="I27" s="1306"/>
      <c r="J27" s="1306"/>
      <c r="K27" s="1306"/>
      <c r="L27" s="1306"/>
      <c r="M27" s="1306"/>
      <c r="N27" s="1395"/>
      <c r="O27" s="1396"/>
      <c r="P27" s="1306"/>
      <c r="Q27" s="1306"/>
      <c r="R27" s="1395"/>
      <c r="S27" s="1481" t="e">
        <f t="shared" ref="S27:T27" si="27">SUM(S26:S26)</f>
        <v>#DIV/0!</v>
      </c>
      <c r="T27" s="965" t="e">
        <f t="shared" si="27"/>
        <v>#DIV/0!</v>
      </c>
      <c r="U27" s="427" t="e">
        <f t="shared" si="0"/>
        <v>#DIV/0!</v>
      </c>
      <c r="V27" s="179" t="e">
        <f t="shared" ref="V27:V28" si="28">SUM(F27,I27,M27,Q27,T27)</f>
        <v>#DIV/0!</v>
      </c>
      <c r="W27" s="406">
        <f t="shared" ref="W27:W28" si="29">SUM(J27,N27,R27)</f>
        <v>0</v>
      </c>
    </row>
    <row r="28" spans="2:26" ht="13.5" thickBot="1" x14ac:dyDescent="0.25">
      <c r="B28" s="2218" t="s">
        <v>255</v>
      </c>
      <c r="C28" s="2219"/>
      <c r="D28" s="996">
        <f>SUM(D17,D25,D27)</f>
        <v>0</v>
      </c>
      <c r="E28" s="806">
        <f>SUM(E17,E25,E27)</f>
        <v>0</v>
      </c>
      <c r="F28" s="1018">
        <f>SUM(F17,F25,F27)</f>
        <v>0</v>
      </c>
      <c r="G28" s="996" t="e">
        <f t="shared" ref="G28:N28" si="30">SUM(G17,G25,G27)</f>
        <v>#DIV/0!</v>
      </c>
      <c r="H28" s="806">
        <f t="shared" si="30"/>
        <v>0</v>
      </c>
      <c r="I28" s="806">
        <f t="shared" si="30"/>
        <v>0</v>
      </c>
      <c r="J28" s="807">
        <f t="shared" si="30"/>
        <v>0</v>
      </c>
      <c r="K28" s="806" t="e">
        <f t="shared" si="30"/>
        <v>#DIV/0!</v>
      </c>
      <c r="L28" s="806">
        <f t="shared" si="30"/>
        <v>0</v>
      </c>
      <c r="M28" s="806">
        <f t="shared" si="30"/>
        <v>0</v>
      </c>
      <c r="N28" s="1018">
        <f t="shared" si="30"/>
        <v>0</v>
      </c>
      <c r="O28" s="1007">
        <f>SUM(O15,O22,O27)</f>
        <v>0</v>
      </c>
      <c r="P28" s="807">
        <f>SUM(P15,P22,P27)</f>
        <v>0</v>
      </c>
      <c r="Q28" s="806">
        <f>SUM(Q15,Q22,Q27)</f>
        <v>0</v>
      </c>
      <c r="R28" s="997">
        <f>SUM(R15,R22,R27)</f>
        <v>0</v>
      </c>
      <c r="S28" s="976" t="e">
        <f>SUM(S17,S25,S27)</f>
        <v>#DIV/0!</v>
      </c>
      <c r="T28" s="966" t="e">
        <f>SUM(T17,T25,T27)</f>
        <v>#DIV/0!</v>
      </c>
      <c r="U28" s="983" t="e">
        <f>SUM(E28,H28,L28,P28,S28)</f>
        <v>#DIV/0!</v>
      </c>
      <c r="V28" s="798" t="e">
        <f t="shared" si="28"/>
        <v>#DIV/0!</v>
      </c>
      <c r="W28" s="539">
        <f t="shared" si="29"/>
        <v>0</v>
      </c>
    </row>
    <row r="29" spans="2:26" s="28" customFormat="1" ht="13.5" thickBot="1" x14ac:dyDescent="0.25">
      <c r="U29" s="1531"/>
    </row>
    <row r="30" spans="2:26" ht="18.75" customHeight="1" thickBot="1" x14ac:dyDescent="0.25">
      <c r="B30" s="2214" t="s">
        <v>959</v>
      </c>
      <c r="C30" s="2215"/>
      <c r="D30" s="2010"/>
      <c r="E30" s="2011"/>
      <c r="U30" s="800"/>
      <c r="V30" s="800"/>
      <c r="W30" s="800"/>
    </row>
    <row r="31" spans="2:26" ht="25.5" x14ac:dyDescent="0.2">
      <c r="B31" s="2211" t="s">
        <v>85</v>
      </c>
      <c r="C31" s="2212"/>
      <c r="D31" s="2212"/>
      <c r="E31" s="917" t="s">
        <v>960</v>
      </c>
      <c r="U31" s="800"/>
      <c r="V31" s="800"/>
      <c r="W31" s="800"/>
    </row>
    <row r="32" spans="2:26" ht="13.5" thickBot="1" x14ac:dyDescent="0.25">
      <c r="B32" s="2038" t="s">
        <v>197</v>
      </c>
      <c r="C32" s="2213"/>
      <c r="D32" s="2213"/>
      <c r="E32" s="702">
        <f>'Stationary Energy - E. Indus.'!C11</f>
        <v>0</v>
      </c>
      <c r="U32" s="800"/>
    </row>
    <row r="33" spans="2:5" ht="51.75" customHeight="1" thickBot="1" x14ac:dyDescent="0.25">
      <c r="B33" s="2216" t="s">
        <v>1177</v>
      </c>
      <c r="C33" s="2217"/>
      <c r="D33" s="2217"/>
      <c r="E33" s="1966"/>
    </row>
    <row r="53" spans="14:14" x14ac:dyDescent="0.2">
      <c r="N53" s="1531"/>
    </row>
  </sheetData>
  <mergeCells count="14">
    <mergeCell ref="B7:L7"/>
    <mergeCell ref="B6:L6"/>
    <mergeCell ref="B9:W9"/>
    <mergeCell ref="B26:B27"/>
    <mergeCell ref="B2:G2"/>
    <mergeCell ref="C3:G3"/>
    <mergeCell ref="C4:G4"/>
    <mergeCell ref="B11:B17"/>
    <mergeCell ref="B18:B25"/>
    <mergeCell ref="B31:D31"/>
    <mergeCell ref="B32:D32"/>
    <mergeCell ref="B30:E30"/>
    <mergeCell ref="B33:E33"/>
    <mergeCell ref="B28:C28"/>
  </mergeCells>
  <pageMargins left="0.7" right="0.7" top="0.75" bottom="0.75" header="0.3" footer="0.3"/>
  <pageSetup orientation="portrait" r:id="rId1"/>
  <ignoredErrors>
    <ignoredError sqref="U25:W25 V17:W17"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Introduction</vt:lpstr>
      <vt:lpstr>Inputs</vt:lpstr>
      <vt:lpstr>Adjust Inventory Year</vt:lpstr>
      <vt:lpstr>All Emissions - Summary</vt:lpstr>
      <vt:lpstr>Multi-Year Emissions Trend</vt:lpstr>
      <vt:lpstr>Report Charts</vt:lpstr>
      <vt:lpstr>Drop-Downs</vt:lpstr>
      <vt:lpstr>Emission Factors</vt:lpstr>
      <vt:lpstr>Stationary Energy - Summary</vt:lpstr>
      <vt:lpstr>Stationary Energy - Buildings</vt:lpstr>
      <vt:lpstr>Stationary Energy - Off Road</vt:lpstr>
      <vt:lpstr>Stationary Energy - E. Indus.</vt:lpstr>
      <vt:lpstr>Transportation - Summary</vt:lpstr>
      <vt:lpstr>Transportation - On Road</vt:lpstr>
      <vt:lpstr>Transportation - Rail</vt:lpstr>
      <vt:lpstr>Waste - Summary</vt:lpstr>
      <vt:lpstr>Waste-Solid Waste Disposal</vt:lpstr>
      <vt:lpstr>Waste-Biological Treatment</vt:lpstr>
      <vt:lpstr>Waste-Incineration</vt:lpstr>
      <vt:lpstr>Waste-Wastewater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Jewel, Amy</dc:creator>
  <cp:lastModifiedBy>Aki, Megan</cp:lastModifiedBy>
  <dcterms:created xsi:type="dcterms:W3CDTF">2009-06-18T20:03:52Z</dcterms:created>
  <dcterms:modified xsi:type="dcterms:W3CDTF">2020-04-16T15:49:43Z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5bbf31dd-035e-44b4-b399-a4214514149d</vt:lpwstr>
  </property>
</Properties>
</file>