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01"/>
  <workbookPr updateLinks="never" hidePivotFieldList="1"/>
  <mc:AlternateContent xmlns:mc="http://schemas.openxmlformats.org/markup-compatibility/2006">
    <mc:Choice Requires="x15">
      <x15ac:absPath xmlns:x15ac="http://schemas.microsoft.com/office/spreadsheetml/2010/11/ac" url="https://mapc365.sharepoint.com/sites/CleanEnergy/Shared Documents/CE Projects/GHG Inventory Tool/2022 Version/Final/"/>
    </mc:Choice>
  </mc:AlternateContent>
  <xr:revisionPtr revIDLastSave="0" documentId="8_{7883BD18-BB30-42A7-8193-4230D94CE99F}" xr6:coauthVersionLast="47" xr6:coauthVersionMax="47" xr10:uidLastSave="{00000000-0000-0000-0000-000000000000}"/>
  <bookViews>
    <workbookView xWindow="-108" yWindow="-108" windowWidth="23256" windowHeight="12576" tabRatio="821" firstSheet="2" activeTab="2" xr2:uid="{00000000-000D-0000-FFFF-FFFF00000000}"/>
  </bookViews>
  <sheets>
    <sheet name="Introduction" sheetId="31" r:id="rId1"/>
    <sheet name="Inputs" sheetId="56" r:id="rId2"/>
    <sheet name="Adjust Inventory Year" sheetId="64" r:id="rId3"/>
    <sheet name="All Emissions - Summary" sheetId="46" r:id="rId4"/>
    <sheet name="Multi-Year Emissions Trend" sheetId="63" r:id="rId5"/>
    <sheet name="Drop-Downs" sheetId="59" state="hidden" r:id="rId6"/>
    <sheet name="Report Charts" sheetId="55" r:id="rId7"/>
    <sheet name="Emission Factors" sheetId="24" r:id="rId8"/>
    <sheet name="Stationary Energy - Summary" sheetId="25" r:id="rId9"/>
    <sheet name="Stationary Energy - Buildings" sheetId="1" r:id="rId10"/>
    <sheet name="Stationary Energy - Off Road" sheetId="16" r:id="rId11"/>
    <sheet name="Stationary Energy - E. Indus." sheetId="62" r:id="rId12"/>
    <sheet name="Transportation - Summary" sheetId="34" r:id="rId13"/>
    <sheet name="Transportation - On Road" sheetId="4" r:id="rId14"/>
    <sheet name="Transportation - Rail" sheetId="52" r:id="rId15"/>
    <sheet name="Waste - Summary" sheetId="54" r:id="rId16"/>
    <sheet name="Waste-Solid Waste Disposal" sheetId="51" r:id="rId17"/>
    <sheet name="Waste-Biological Treatment" sheetId="61" r:id="rId18"/>
    <sheet name="Waste-Incineration" sheetId="49" r:id="rId19"/>
    <sheet name="Waste-Wastewater" sheetId="11" r:id="rId20"/>
  </sheets>
  <externalReferences>
    <externalReference r:id="rId21"/>
  </externalReferences>
  <definedNames>
    <definedName name="_xlnm._FilterDatabase" localSheetId="7" hidden="1">'Emission Factors'!$B$135:$E$135</definedName>
    <definedName name="_xlnm._FilterDatabase" localSheetId="1" hidden="1">Inputs!$B$27:$C$27</definedName>
    <definedName name="_xlnm._FilterDatabase" localSheetId="9" hidden="1">Inputs!$B$69:$C$69</definedName>
    <definedName name="_xlnm._FilterDatabase" localSheetId="11" hidden="1">'Stationary Energy - E. Indus.'!$B$14:$F$14</definedName>
    <definedName name="Bacteria" localSheetId="4">#REF!</definedName>
    <definedName name="Bacteria" localSheetId="11">#REF!</definedName>
    <definedName name="Bacteria" localSheetId="17">#REF!</definedName>
    <definedName name="Bacteria">#REF!</definedName>
    <definedName name="Bacterias" localSheetId="4">#REF!</definedName>
    <definedName name="Bacterias" localSheetId="11">#REF!</definedName>
    <definedName name="Bacterias" localSheetId="17">#REF!</definedName>
    <definedName name="Bacterias">#REF!</definedName>
    <definedName name="Denitrification" localSheetId="4">#REF!</definedName>
    <definedName name="Denitrification" localSheetId="11">#REF!</definedName>
    <definedName name="Denitrification" localSheetId="17">#REF!</definedName>
    <definedName name="Denitrification">#REF!</definedName>
    <definedName name="Denitrifications" localSheetId="4">#REF!</definedName>
    <definedName name="Denitrifications" localSheetId="11">#REF!</definedName>
    <definedName name="Denitrifications" localSheetId="17">#REF!</definedName>
    <definedName name="Denitrifications">#REF!</definedName>
    <definedName name="Equipment">'[1]RF-FA Default Emission Rates'!$E$96:$E$101</definedName>
    <definedName name="Question_1" localSheetId="4">#REF!</definedName>
    <definedName name="Question_1" localSheetId="11">#REF!</definedName>
    <definedName name="Question_1" localSheetId="17">#REF!</definedName>
    <definedName name="Question_1">#REF!</definedName>
    <definedName name="Question_2" localSheetId="4">#REF!</definedName>
    <definedName name="Question_2" localSheetId="11">#REF!</definedName>
    <definedName name="Question_2" localSheetId="17">#REF!</definedName>
    <definedName name="Question_2">#REF!</definedName>
    <definedName name="Question_2_on_this_sheet" localSheetId="4">#REF!</definedName>
    <definedName name="Question_2_on_this_sheet" localSheetId="11">#REF!</definedName>
    <definedName name="Question_2_on_this_sheet" localSheetId="17">#REF!</definedName>
    <definedName name="Question_2_on_this_sheet">#REF!</definedName>
    <definedName name="Question_on_this_sheet" localSheetId="4">#REF!</definedName>
    <definedName name="Question_on_this_sheet" localSheetId="11">#REF!</definedName>
    <definedName name="Question_on_this_sheet" localSheetId="17">#REF!</definedName>
    <definedName name="Question_on_this_sheet">#REF!</definedName>
    <definedName name="Question1" localSheetId="4">#REF!</definedName>
    <definedName name="Question1" localSheetId="11">#REF!</definedName>
    <definedName name="Question1" localSheetId="17">#REF!</definedName>
    <definedName name="Question1">#REF!</definedName>
    <definedName name="Question1onThisSheet" localSheetId="4">#REF!</definedName>
    <definedName name="Question1onThisSheet" localSheetId="11">#REF!</definedName>
    <definedName name="Question1onThisSheet" localSheetId="17">#REF!</definedName>
    <definedName name="Question1onThisSheet">#REF!</definedName>
    <definedName name="Question2" localSheetId="4">#REF!</definedName>
    <definedName name="Question2" localSheetId="11">#REF!</definedName>
    <definedName name="Question2" localSheetId="17">#REF!</definedName>
    <definedName name="Question2">#REF!</definedName>
    <definedName name="QuestiononThisSheet" localSheetId="4">#REF!</definedName>
    <definedName name="QuestiononThisSheet" localSheetId="11">#REF!</definedName>
    <definedName name="QuestiononThisSheet" localSheetId="17">#REF!</definedName>
    <definedName name="QuestiononThisShee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5" i="46" l="1"/>
  <c r="D134" i="46" s="1"/>
  <c r="V113" i="4"/>
  <c r="V112" i="4"/>
  <c r="O114" i="4"/>
  <c r="K114" i="4"/>
  <c r="K112" i="4"/>
  <c r="H16" i="4"/>
  <c r="G16" i="4"/>
  <c r="F16" i="4"/>
  <c r="E16" i="4"/>
  <c r="D16" i="4"/>
  <c r="C16" i="4"/>
  <c r="H15" i="4"/>
  <c r="G15" i="4"/>
  <c r="F15" i="4"/>
  <c r="C15" i="4"/>
  <c r="H14" i="4"/>
  <c r="G14" i="4"/>
  <c r="F14" i="4"/>
  <c r="E14" i="4"/>
  <c r="H13" i="4"/>
  <c r="G13" i="4"/>
  <c r="F13" i="4"/>
  <c r="E13" i="4"/>
  <c r="H12" i="4"/>
  <c r="G12" i="4"/>
  <c r="F12" i="4"/>
  <c r="C12" i="4"/>
  <c r="G11" i="4"/>
  <c r="D11" i="4"/>
  <c r="G20" i="46"/>
  <c r="E123" i="4"/>
  <c r="F123" i="4" s="1"/>
  <c r="E124" i="4"/>
  <c r="H124" i="4" s="1"/>
  <c r="D120" i="4"/>
  <c r="D121" i="4"/>
  <c r="D122" i="4"/>
  <c r="D123" i="4"/>
  <c r="D124" i="4"/>
  <c r="D125" i="4"/>
  <c r="D119" i="4"/>
  <c r="C125" i="4"/>
  <c r="C124" i="4"/>
  <c r="C123" i="4"/>
  <c r="G124" i="4" l="1"/>
  <c r="H123" i="4"/>
  <c r="F124" i="4"/>
  <c r="I124" i="4" s="1"/>
  <c r="G123" i="4"/>
  <c r="E65" i="51"/>
  <c r="I123" i="4" l="1"/>
  <c r="E36" i="64" l="1"/>
  <c r="E29" i="64"/>
  <c r="E28" i="64"/>
  <c r="E27" i="64"/>
  <c r="F3" i="59"/>
  <c r="F4" i="59"/>
  <c r="F5" i="59"/>
  <c r="F6" i="59"/>
  <c r="F7" i="59"/>
  <c r="F8" i="59"/>
  <c r="F9" i="59"/>
  <c r="F10" i="59"/>
  <c r="F11" i="59"/>
  <c r="F12" i="59"/>
  <c r="F13" i="59"/>
  <c r="F2" i="59"/>
  <c r="E12" i="51" s="1"/>
  <c r="C29" i="51"/>
  <c r="D55" i="51"/>
  <c r="F55" i="51" s="1"/>
  <c r="D54" i="51"/>
  <c r="F54" i="51" s="1"/>
  <c r="C54" i="51"/>
  <c r="E54" i="51" s="1"/>
  <c r="E90" i="51" l="1"/>
  <c r="F90" i="51" s="1"/>
  <c r="H80" i="1"/>
  <c r="F5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109" i="1"/>
  <c r="C51" i="1"/>
  <c r="C49" i="1"/>
  <c r="E48" i="1"/>
  <c r="E47" i="1"/>
  <c r="E43" i="1"/>
  <c r="D48" i="1"/>
  <c r="D47" i="1"/>
  <c r="D46" i="1"/>
  <c r="D45" i="1"/>
  <c r="D44" i="1"/>
  <c r="D43" i="1"/>
  <c r="C72" i="1" l="1"/>
  <c r="C75" i="24"/>
  <c r="C76" i="24"/>
  <c r="C77" i="24"/>
  <c r="C78" i="24"/>
  <c r="C79" i="24"/>
  <c r="C80" i="24"/>
  <c r="C81" i="24"/>
  <c r="C82" i="24"/>
  <c r="C83" i="24"/>
  <c r="C84" i="24"/>
  <c r="C85" i="24"/>
  <c r="C86" i="24"/>
  <c r="C87" i="24"/>
  <c r="C88" i="24"/>
  <c r="C89" i="24"/>
  <c r="C90" i="24"/>
  <c r="C91" i="24"/>
  <c r="C92" i="24"/>
  <c r="C93" i="24"/>
  <c r="C94" i="24"/>
  <c r="C95" i="24"/>
  <c r="C96" i="24"/>
  <c r="C97" i="24"/>
  <c r="C98" i="24"/>
  <c r="C99" i="24"/>
  <c r="C100" i="24"/>
  <c r="C101" i="24"/>
  <c r="C102" i="24"/>
  <c r="C103" i="24"/>
  <c r="F67" i="24" s="1"/>
  <c r="C104" i="24"/>
  <c r="C105" i="24"/>
  <c r="C106" i="24"/>
  <c r="C107" i="24"/>
  <c r="C108" i="24"/>
  <c r="C109" i="24"/>
  <c r="C110" i="24"/>
  <c r="C111" i="24"/>
  <c r="C112" i="24"/>
  <c r="C113" i="24"/>
  <c r="C114" i="24"/>
  <c r="C74" i="24"/>
  <c r="C73" i="24"/>
  <c r="E58" i="4"/>
  <c r="E59" i="4"/>
  <c r="E60" i="4"/>
  <c r="E61" i="4"/>
  <c r="E62" i="4"/>
  <c r="E63" i="4"/>
  <c r="E64" i="4"/>
  <c r="E65" i="4"/>
  <c r="E57" i="4"/>
  <c r="C18" i="11"/>
  <c r="C16" i="11"/>
  <c r="K21" i="52" l="1"/>
  <c r="K22" i="52"/>
  <c r="K23" i="52"/>
  <c r="K20" i="52"/>
  <c r="K19" i="52"/>
  <c r="F24" i="52"/>
  <c r="C21" i="52"/>
  <c r="C22" i="52"/>
  <c r="C23" i="52"/>
  <c r="C24" i="52"/>
  <c r="C20" i="52"/>
  <c r="C19" i="52"/>
  <c r="P113" i="4"/>
  <c r="P112" i="4"/>
  <c r="L114" i="4"/>
  <c r="F114" i="4"/>
  <c r="F112" i="4"/>
  <c r="C114" i="4"/>
  <c r="C113" i="4"/>
  <c r="C112" i="4"/>
  <c r="C48" i="11" l="1"/>
  <c r="C49" i="11"/>
  <c r="C50" i="11"/>
  <c r="C51" i="11"/>
  <c r="C47" i="11"/>
  <c r="C42" i="11"/>
  <c r="C35" i="11"/>
  <c r="C36" i="11"/>
  <c r="C34" i="11"/>
  <c r="C29" i="11"/>
  <c r="C27" i="11"/>
  <c r="C26" i="11"/>
  <c r="C25" i="11"/>
  <c r="C28" i="11" l="1"/>
  <c r="C37" i="11"/>
  <c r="D71" i="51" l="1"/>
  <c r="D70" i="51"/>
  <c r="D69" i="51" l="1"/>
  <c r="C94" i="4"/>
  <c r="E93" i="4"/>
  <c r="C93" i="4"/>
  <c r="E92" i="4"/>
  <c r="C92" i="4"/>
  <c r="E91" i="4"/>
  <c r="C91" i="4"/>
  <c r="E90" i="4"/>
  <c r="C90" i="4"/>
  <c r="E89" i="4"/>
  <c r="C89" i="4"/>
  <c r="E88" i="4"/>
  <c r="C88" i="4"/>
  <c r="E87" i="4"/>
  <c r="C87" i="4"/>
  <c r="E86" i="4"/>
  <c r="C86" i="4"/>
  <c r="E85" i="4"/>
  <c r="C85" i="4"/>
  <c r="E72" i="4"/>
  <c r="E73" i="4"/>
  <c r="E74" i="4"/>
  <c r="E75" i="4"/>
  <c r="E76" i="4"/>
  <c r="E77" i="4"/>
  <c r="E78" i="4"/>
  <c r="E79" i="4"/>
  <c r="C72" i="4"/>
  <c r="C73" i="4"/>
  <c r="C74" i="4"/>
  <c r="C75" i="4"/>
  <c r="C76" i="4"/>
  <c r="C77" i="4"/>
  <c r="C78" i="4"/>
  <c r="C79" i="4"/>
  <c r="C58" i="4"/>
  <c r="C59" i="4"/>
  <c r="C60" i="4"/>
  <c r="C61" i="4"/>
  <c r="C62" i="4"/>
  <c r="C63" i="4"/>
  <c r="C64" i="4"/>
  <c r="C65" i="4"/>
  <c r="D260" i="56"/>
  <c r="C260" i="56"/>
  <c r="E44" i="4"/>
  <c r="E45" i="4"/>
  <c r="E46" i="4"/>
  <c r="E47" i="4"/>
  <c r="E48" i="4"/>
  <c r="E49" i="4"/>
  <c r="E50" i="4"/>
  <c r="E51" i="4"/>
  <c r="C44" i="4"/>
  <c r="C45" i="4"/>
  <c r="C46" i="4"/>
  <c r="C47" i="4"/>
  <c r="C48" i="4"/>
  <c r="C49" i="4"/>
  <c r="C50" i="4"/>
  <c r="C51" i="4"/>
  <c r="D32" i="4" l="1"/>
  <c r="D31" i="4"/>
  <c r="C36" i="4"/>
  <c r="D30" i="4"/>
  <c r="C32" i="4"/>
  <c r="C35" i="4"/>
  <c r="C31" i="4"/>
  <c r="C30" i="4"/>
  <c r="C34" i="4"/>
  <c r="C33" i="4"/>
  <c r="C37" i="4"/>
  <c r="D33" i="4"/>
  <c r="D35" i="4"/>
  <c r="D34" i="4"/>
  <c r="D37" i="4"/>
  <c r="D36" i="4"/>
  <c r="E71" i="4" l="1"/>
  <c r="C80" i="4"/>
  <c r="C71" i="4"/>
  <c r="D246" i="56"/>
  <c r="C246" i="56"/>
  <c r="C66" i="4" l="1"/>
  <c r="C57" i="4"/>
  <c r="E43" i="4"/>
  <c r="D29" i="4" s="1"/>
  <c r="C52" i="4"/>
  <c r="C43" i="4"/>
  <c r="D21" i="4" l="1"/>
  <c r="C29" i="4"/>
  <c r="C21" i="4" s="1"/>
  <c r="C38" i="4"/>
  <c r="C23" i="4" s="1"/>
  <c r="E46" i="1" l="1"/>
  <c r="E45" i="1"/>
  <c r="E44" i="1" l="1"/>
  <c r="F213" i="1" l="1"/>
  <c r="I71" i="1"/>
  <c r="F71" i="1" s="1"/>
  <c r="I68" i="1"/>
  <c r="F68" i="1" s="1"/>
  <c r="D29" i="1" l="1"/>
  <c r="D27" i="1"/>
  <c r="D28" i="1"/>
  <c r="D30" i="1" l="1"/>
  <c r="J12" i="16"/>
  <c r="E27" i="1" l="1"/>
  <c r="E30" i="1" s="1"/>
  <c r="F130" i="24" l="1"/>
  <c r="E130" i="24"/>
  <c r="D130" i="24"/>
  <c r="F129" i="24"/>
  <c r="E129" i="24"/>
  <c r="D129" i="24"/>
  <c r="C125" i="24"/>
  <c r="B125" i="24"/>
  <c r="F12" i="24"/>
  <c r="E12" i="24"/>
  <c r="D12" i="24"/>
  <c r="C10" i="24"/>
  <c r="G86" i="4" l="1"/>
  <c r="G72" i="4"/>
  <c r="H86" i="4"/>
  <c r="H72" i="4"/>
  <c r="I86" i="4"/>
  <c r="I72" i="4"/>
  <c r="G49" i="4"/>
  <c r="G62" i="4"/>
  <c r="G93" i="4"/>
  <c r="G63" i="4"/>
  <c r="G89" i="4"/>
  <c r="J89" i="4" s="1"/>
  <c r="G47" i="4"/>
  <c r="G87" i="4"/>
  <c r="G88" i="4"/>
  <c r="G92" i="4"/>
  <c r="G85" i="4"/>
  <c r="G90" i="4"/>
  <c r="G76" i="4"/>
  <c r="G74" i="4"/>
  <c r="G77" i="4"/>
  <c r="G65" i="4"/>
  <c r="G61" i="4"/>
  <c r="G51" i="4"/>
  <c r="G78" i="4"/>
  <c r="G79" i="4"/>
  <c r="G60" i="4"/>
  <c r="G91" i="4"/>
  <c r="G64" i="4"/>
  <c r="G75" i="4"/>
  <c r="G48" i="4"/>
  <c r="G50" i="4"/>
  <c r="G73" i="4"/>
  <c r="G71" i="4"/>
  <c r="H78" i="4"/>
  <c r="H88" i="4"/>
  <c r="H90" i="4"/>
  <c r="H51" i="4"/>
  <c r="H89" i="4"/>
  <c r="H49" i="4"/>
  <c r="H93" i="4"/>
  <c r="H92" i="4"/>
  <c r="H75" i="4"/>
  <c r="H48" i="4"/>
  <c r="H85" i="4"/>
  <c r="H65" i="4"/>
  <c r="H79" i="4"/>
  <c r="H91" i="4"/>
  <c r="H76" i="4"/>
  <c r="H60" i="4"/>
  <c r="H87" i="4"/>
  <c r="H77" i="4"/>
  <c r="H64" i="4"/>
  <c r="H62" i="4"/>
  <c r="H47" i="4"/>
  <c r="H50" i="4"/>
  <c r="H61" i="4"/>
  <c r="H63" i="4"/>
  <c r="H74" i="4"/>
  <c r="H73" i="4"/>
  <c r="H71" i="4"/>
  <c r="I51" i="4"/>
  <c r="I75" i="4"/>
  <c r="I49" i="4"/>
  <c r="I48" i="4"/>
  <c r="I62" i="4"/>
  <c r="I90" i="4"/>
  <c r="I85" i="4"/>
  <c r="I89" i="4"/>
  <c r="I91" i="4"/>
  <c r="I77" i="4"/>
  <c r="I92" i="4"/>
  <c r="I60" i="4"/>
  <c r="I79" i="4"/>
  <c r="I50" i="4"/>
  <c r="I61" i="4"/>
  <c r="I64" i="4"/>
  <c r="I74" i="4"/>
  <c r="I88" i="4"/>
  <c r="I63" i="4"/>
  <c r="I76" i="4"/>
  <c r="I65" i="4"/>
  <c r="I47" i="4"/>
  <c r="I87" i="4"/>
  <c r="I93" i="4"/>
  <c r="I78" i="4"/>
  <c r="I73" i="4"/>
  <c r="I71" i="4"/>
  <c r="E132" i="24"/>
  <c r="J62" i="4" l="1"/>
  <c r="H33" i="4"/>
  <c r="J78" i="4"/>
  <c r="F33" i="4"/>
  <c r="J47" i="4"/>
  <c r="J51" i="4"/>
  <c r="F37" i="4"/>
  <c r="J63" i="4"/>
  <c r="J93" i="4"/>
  <c r="J77" i="4"/>
  <c r="G34" i="4"/>
  <c r="F36" i="4"/>
  <c r="J50" i="4"/>
  <c r="J74" i="4"/>
  <c r="F35" i="4"/>
  <c r="J49" i="4"/>
  <c r="J73" i="4"/>
  <c r="G33" i="4"/>
  <c r="F34" i="4"/>
  <c r="J48" i="4"/>
  <c r="J76" i="4"/>
  <c r="G36" i="4"/>
  <c r="J75" i="4"/>
  <c r="J90" i="4"/>
  <c r="J65" i="4"/>
  <c r="H34" i="4"/>
  <c r="J64" i="4"/>
  <c r="J85" i="4"/>
  <c r="J71" i="4"/>
  <c r="J61" i="4"/>
  <c r="G35" i="4"/>
  <c r="J91" i="4"/>
  <c r="J92" i="4"/>
  <c r="H36" i="4"/>
  <c r="J88" i="4"/>
  <c r="J72" i="4"/>
  <c r="H35" i="4"/>
  <c r="H37" i="4"/>
  <c r="J60" i="4"/>
  <c r="G37" i="4"/>
  <c r="J79" i="4"/>
  <c r="J87" i="4"/>
  <c r="J86" i="4"/>
  <c r="C38" i="1"/>
  <c r="D38" i="1" s="1"/>
  <c r="C49" i="24"/>
  <c r="E33" i="24"/>
  <c r="D31" i="24"/>
  <c r="D32" i="24"/>
  <c r="D30" i="24"/>
  <c r="E20" i="46" l="1"/>
  <c r="F38" i="1"/>
  <c r="G38" i="1"/>
  <c r="E38" i="1"/>
  <c r="D67" i="51"/>
  <c r="D66" i="51"/>
  <c r="D64" i="51"/>
  <c r="D63" i="51"/>
  <c r="D62" i="51"/>
  <c r="D100" i="4"/>
  <c r="D101" i="4"/>
  <c r="D102" i="4"/>
  <c r="D103" i="4"/>
  <c r="D104" i="4"/>
  <c r="D105" i="4"/>
  <c r="D99" i="4"/>
  <c r="C100" i="4"/>
  <c r="C101" i="4"/>
  <c r="C102" i="4"/>
  <c r="C103" i="4"/>
  <c r="C104" i="4"/>
  <c r="C105" i="4"/>
  <c r="C99" i="4"/>
  <c r="B101" i="4"/>
  <c r="B102" i="4"/>
  <c r="B103" i="4"/>
  <c r="B104" i="4"/>
  <c r="B105" i="4"/>
  <c r="B100" i="4"/>
  <c r="B99" i="4"/>
  <c r="E212" i="1"/>
  <c r="C212" i="1"/>
  <c r="B212" i="1"/>
  <c r="C50" i="24"/>
  <c r="C48" i="24"/>
  <c r="C51" i="24" l="1"/>
  <c r="F38" i="24"/>
  <c r="D61" i="51"/>
  <c r="C55" i="51" s="1"/>
  <c r="E55" i="51" s="1"/>
  <c r="D65" i="51"/>
  <c r="H38" i="1"/>
  <c r="F43" i="24"/>
  <c r="Q113" i="4"/>
  <c r="Q112" i="4"/>
  <c r="D23" i="52"/>
  <c r="D15" i="16"/>
  <c r="F15" i="16" s="1"/>
  <c r="H15" i="16" s="1"/>
  <c r="D14" i="16"/>
  <c r="F14" i="16" s="1"/>
  <c r="H14" i="16" s="1"/>
  <c r="D13" i="16"/>
  <c r="F13" i="16" s="1"/>
  <c r="H13" i="16" s="1"/>
  <c r="D12" i="16"/>
  <c r="F12" i="16" s="1"/>
  <c r="H12" i="16" s="1"/>
  <c r="C15" i="16"/>
  <c r="E15" i="16" s="1"/>
  <c r="G15" i="16" s="1"/>
  <c r="C14" i="16"/>
  <c r="E14" i="16" s="1"/>
  <c r="G14" i="16" s="1"/>
  <c r="C13" i="16"/>
  <c r="E13" i="16" s="1"/>
  <c r="G13" i="16" s="1"/>
  <c r="C12" i="16"/>
  <c r="E12" i="16" s="1"/>
  <c r="G12" i="16" s="1"/>
  <c r="E61" i="51" l="1"/>
  <c r="E23" i="52"/>
  <c r="C6" i="64"/>
  <c r="L23" i="52" l="1"/>
  <c r="M23" i="52" s="1"/>
  <c r="L22" i="52"/>
  <c r="L21" i="52"/>
  <c r="L20" i="52"/>
  <c r="L19" i="52"/>
  <c r="K25" i="52" l="1"/>
  <c r="D232" i="56"/>
  <c r="C232" i="56"/>
  <c r="D218" i="56"/>
  <c r="C218" i="56"/>
  <c r="J15" i="16" l="1"/>
  <c r="J14" i="16"/>
  <c r="J13" i="16"/>
  <c r="F22" i="63" l="1"/>
  <c r="E22" i="63"/>
  <c r="D22" i="63"/>
  <c r="D10" i="24" l="1"/>
  <c r="J27" i="1" s="1"/>
  <c r="E18" i="1" l="1"/>
  <c r="D20" i="25" s="1"/>
  <c r="E13" i="1"/>
  <c r="I13" i="1" s="1"/>
  <c r="F13" i="25" s="1"/>
  <c r="D63" i="56"/>
  <c r="D13" i="25" l="1"/>
  <c r="I18" i="1"/>
  <c r="F20" i="25" s="1"/>
  <c r="F16" i="63"/>
  <c r="E16" i="63"/>
  <c r="C15" i="11"/>
  <c r="C21" i="11" s="1"/>
  <c r="C19" i="11" l="1"/>
  <c r="C5" i="46"/>
  <c r="C43" i="11" l="1"/>
  <c r="C52" i="11" s="1"/>
  <c r="C17" i="11"/>
  <c r="C20" i="11" s="1"/>
  <c r="C30" i="11" s="1"/>
  <c r="E35" i="63"/>
  <c r="K15" i="16"/>
  <c r="L15" i="16" s="1"/>
  <c r="K13" i="16"/>
  <c r="L13" i="16" s="1"/>
  <c r="B11" i="62"/>
  <c r="C11" i="11" l="1"/>
  <c r="C38" i="11"/>
  <c r="B11" i="11" s="1"/>
  <c r="C11" i="62"/>
  <c r="E32" i="25" s="1"/>
  <c r="E111" i="46" s="1"/>
  <c r="F35" i="63"/>
  <c r="D35" i="63"/>
  <c r="F25" i="52"/>
  <c r="D114" i="4"/>
  <c r="D113" i="4"/>
  <c r="D112" i="4"/>
  <c r="E112" i="4" s="1"/>
  <c r="R112" i="4" s="1"/>
  <c r="C119" i="4" l="1"/>
  <c r="D16" i="63"/>
  <c r="G112" i="4"/>
  <c r="J112" i="4" l="1"/>
  <c r="I112" i="4"/>
  <c r="H112" i="4"/>
  <c r="D20" i="52" l="1"/>
  <c r="D21" i="52"/>
  <c r="D22" i="52"/>
  <c r="D24" i="52"/>
  <c r="D19" i="52"/>
  <c r="L25" i="52" l="1"/>
  <c r="E20" i="52" l="1"/>
  <c r="M20" i="52" s="1"/>
  <c r="E21" i="52"/>
  <c r="M21" i="52" s="1"/>
  <c r="C32" i="52" s="1"/>
  <c r="E22" i="52"/>
  <c r="M22" i="52" s="1"/>
  <c r="C31" i="52" l="1"/>
  <c r="C33" i="52"/>
  <c r="H44" i="1" l="1"/>
  <c r="H45" i="1"/>
  <c r="H46" i="1"/>
  <c r="H47" i="1"/>
  <c r="H43" i="1"/>
  <c r="G47" i="1"/>
  <c r="G46" i="1"/>
  <c r="G45" i="1"/>
  <c r="G44" i="1"/>
  <c r="G43" i="1"/>
  <c r="G14" i="54" l="1"/>
  <c r="F93" i="46" s="1"/>
  <c r="W26" i="25" l="1"/>
  <c r="W27" i="25"/>
  <c r="W24" i="25"/>
  <c r="D55" i="56" l="1"/>
  <c r="C57" i="24"/>
  <c r="G57" i="24" s="1"/>
  <c r="C58" i="24"/>
  <c r="G58" i="24" s="1"/>
  <c r="C59" i="24"/>
  <c r="C56" i="24"/>
  <c r="G56" i="24" s="1"/>
  <c r="H59" i="24"/>
  <c r="H58" i="24"/>
  <c r="H57" i="24"/>
  <c r="H56" i="24"/>
  <c r="I56" i="24" l="1"/>
  <c r="D59" i="24"/>
  <c r="G59" i="24"/>
  <c r="D17" i="1"/>
  <c r="D16" i="1" s="1"/>
  <c r="K56" i="24"/>
  <c r="K59" i="24"/>
  <c r="K58" i="24"/>
  <c r="K57" i="24"/>
  <c r="D91" i="51"/>
  <c r="D92" i="51"/>
  <c r="D93" i="51"/>
  <c r="D94" i="51"/>
  <c r="D95" i="51"/>
  <c r="D90" i="51"/>
  <c r="E95" i="51"/>
  <c r="E94" i="51"/>
  <c r="E93" i="51"/>
  <c r="E92" i="51"/>
  <c r="E91" i="51"/>
  <c r="D11" i="61"/>
  <c r="C11" i="61"/>
  <c r="C77" i="51"/>
  <c r="D106" i="4"/>
  <c r="D80" i="4" l="1"/>
  <c r="F80" i="4" s="1"/>
  <c r="D52" i="4"/>
  <c r="D94" i="4"/>
  <c r="D66" i="4"/>
  <c r="E54" i="49"/>
  <c r="F91" i="51"/>
  <c r="E55" i="49" s="1"/>
  <c r="F92" i="51"/>
  <c r="E25" i="49" s="1"/>
  <c r="F93" i="51"/>
  <c r="E42" i="49" s="1"/>
  <c r="F94" i="51"/>
  <c r="E43" i="49" s="1"/>
  <c r="F95" i="51"/>
  <c r="E59" i="49" s="1"/>
  <c r="D56" i="51"/>
  <c r="B11" i="61" s="1"/>
  <c r="C16" i="61" s="1"/>
  <c r="F56" i="51"/>
  <c r="E56" i="49" l="1"/>
  <c r="E26" i="49"/>
  <c r="E27" i="49"/>
  <c r="E24" i="49"/>
  <c r="E39" i="49"/>
  <c r="E23" i="49"/>
  <c r="E58" i="49"/>
  <c r="E28" i="49"/>
  <c r="E41" i="49"/>
  <c r="E40" i="49"/>
  <c r="D84" i="51"/>
  <c r="E57" i="49"/>
  <c r="E44" i="49"/>
  <c r="I16" i="61"/>
  <c r="F16" i="61"/>
  <c r="F12" i="54"/>
  <c r="E12" i="54"/>
  <c r="C17" i="61"/>
  <c r="F17" i="61" l="1"/>
  <c r="H17" i="61" s="1"/>
  <c r="I17" i="61"/>
  <c r="H16" i="61"/>
  <c r="O15" i="16"/>
  <c r="N15" i="16"/>
  <c r="N18" i="16" s="1"/>
  <c r="S26" i="25" s="1"/>
  <c r="K12" i="16"/>
  <c r="L12" i="16" s="1"/>
  <c r="K14" i="16"/>
  <c r="L14" i="16" s="1"/>
  <c r="O18" i="16" l="1"/>
  <c r="T26" i="25" s="1"/>
  <c r="V26" i="25" s="1"/>
  <c r="S27" i="25"/>
  <c r="F81" i="46" s="1"/>
  <c r="U26" i="25"/>
  <c r="H18" i="61"/>
  <c r="G12" i="54" s="1"/>
  <c r="I18" i="61"/>
  <c r="I12" i="54" s="1"/>
  <c r="E16" i="1"/>
  <c r="E20" i="1" s="1"/>
  <c r="C224" i="1" s="1"/>
  <c r="E11" i="1"/>
  <c r="E15" i="1" s="1"/>
  <c r="C223" i="1" s="1"/>
  <c r="E223" i="1" s="1"/>
  <c r="C63" i="56"/>
  <c r="D50" i="56"/>
  <c r="D56" i="56" s="1"/>
  <c r="D34" i="56"/>
  <c r="C34" i="56"/>
  <c r="D18" i="1"/>
  <c r="D13" i="1"/>
  <c r="G13" i="25" s="1"/>
  <c r="U27" i="25" l="1"/>
  <c r="H91" i="46"/>
  <c r="F91" i="46"/>
  <c r="G20" i="25"/>
  <c r="C120" i="24"/>
  <c r="D11" i="25"/>
  <c r="D12" i="1"/>
  <c r="J56" i="24"/>
  <c r="J57" i="24"/>
  <c r="J59" i="24"/>
  <c r="J58" i="24"/>
  <c r="D11" i="1" l="1"/>
  <c r="C119" i="24" s="1"/>
  <c r="I91" i="46"/>
  <c r="F62" i="46" s="1"/>
  <c r="E21" i="1"/>
  <c r="G34" i="46" l="1"/>
  <c r="D34" i="46"/>
  <c r="D20" i="1"/>
  <c r="G32" i="63" l="1"/>
  <c r="D138" i="46"/>
  <c r="H81" i="1"/>
  <c r="H82" i="1"/>
  <c r="H83" i="1"/>
  <c r="H84" i="1"/>
  <c r="H85" i="1"/>
  <c r="H86" i="1"/>
  <c r="H87" i="1"/>
  <c r="H88" i="1"/>
  <c r="H89" i="1"/>
  <c r="H90" i="1"/>
  <c r="H91" i="1"/>
  <c r="H92" i="1"/>
  <c r="H93" i="1"/>
  <c r="H94" i="1"/>
  <c r="H95" i="1"/>
  <c r="H96" i="1"/>
  <c r="H97" i="1"/>
  <c r="H98" i="1"/>
  <c r="H99" i="1"/>
  <c r="H100" i="1"/>
  <c r="C80" i="1" l="1"/>
  <c r="C81" i="1"/>
  <c r="C82" i="1"/>
  <c r="C83" i="1"/>
  <c r="C84" i="1"/>
  <c r="C85" i="1"/>
  <c r="C86" i="1"/>
  <c r="C87" i="1"/>
  <c r="C88" i="1"/>
  <c r="C89" i="1"/>
  <c r="C90" i="1"/>
  <c r="C91" i="1"/>
  <c r="C92" i="1"/>
  <c r="C93" i="1"/>
  <c r="C94" i="1"/>
  <c r="C95" i="1"/>
  <c r="C96" i="1"/>
  <c r="C97" i="1"/>
  <c r="C98" i="1"/>
  <c r="C99" i="1"/>
  <c r="C100" i="1"/>
  <c r="C59" i="1"/>
  <c r="C58" i="1"/>
  <c r="C62" i="1"/>
  <c r="C61" i="1"/>
  <c r="C60" i="1"/>
  <c r="C69" i="1"/>
  <c r="C68" i="1"/>
  <c r="D59" i="1"/>
  <c r="D58" i="1"/>
  <c r="D62" i="1"/>
  <c r="D61" i="1"/>
  <c r="D60" i="1"/>
  <c r="D69" i="1"/>
  <c r="D68" i="1"/>
  <c r="C65" i="1" l="1"/>
  <c r="D63" i="1"/>
  <c r="D65" i="1"/>
  <c r="D70" i="1"/>
  <c r="D72" i="1"/>
  <c r="J97" i="1"/>
  <c r="I97" i="1" s="1"/>
  <c r="D97" i="1"/>
  <c r="J89" i="1"/>
  <c r="M89" i="1" s="1"/>
  <c r="D89" i="1"/>
  <c r="J81" i="1"/>
  <c r="L81" i="1" s="1"/>
  <c r="D81" i="1"/>
  <c r="C63" i="1"/>
  <c r="C67" i="1"/>
  <c r="C71" i="1"/>
  <c r="D64" i="1"/>
  <c r="J96" i="1"/>
  <c r="K96" i="1" s="1"/>
  <c r="D96" i="1"/>
  <c r="J88" i="1"/>
  <c r="M88" i="1" s="1"/>
  <c r="D88" i="1"/>
  <c r="J80" i="1"/>
  <c r="K80" i="1" s="1"/>
  <c r="D80" i="1"/>
  <c r="J86" i="1"/>
  <c r="L86" i="1" s="1"/>
  <c r="D86" i="1"/>
  <c r="J95" i="1"/>
  <c r="K95" i="1" s="1"/>
  <c r="D95" i="1"/>
  <c r="J87" i="1"/>
  <c r="K87" i="1" s="1"/>
  <c r="D87" i="1"/>
  <c r="C66" i="1"/>
  <c r="J94" i="1"/>
  <c r="M94" i="1" s="1"/>
  <c r="D94" i="1"/>
  <c r="D67" i="1"/>
  <c r="D71" i="1"/>
  <c r="J93" i="1"/>
  <c r="I93" i="1" s="1"/>
  <c r="D93" i="1"/>
  <c r="J85" i="1"/>
  <c r="K85" i="1" s="1"/>
  <c r="D85" i="1"/>
  <c r="J100" i="1"/>
  <c r="M100" i="1" s="1"/>
  <c r="D100" i="1"/>
  <c r="J92" i="1"/>
  <c r="K92" i="1" s="1"/>
  <c r="D92" i="1"/>
  <c r="J84" i="1"/>
  <c r="K84" i="1" s="1"/>
  <c r="D84" i="1"/>
  <c r="C64" i="1"/>
  <c r="D66" i="1"/>
  <c r="J99" i="1"/>
  <c r="L99" i="1" s="1"/>
  <c r="D99" i="1"/>
  <c r="J91" i="1"/>
  <c r="I91" i="1" s="1"/>
  <c r="D91" i="1"/>
  <c r="J83" i="1"/>
  <c r="L83" i="1" s="1"/>
  <c r="D83" i="1"/>
  <c r="J98" i="1"/>
  <c r="I98" i="1" s="1"/>
  <c r="D98" i="1"/>
  <c r="J90" i="1"/>
  <c r="I90" i="1" s="1"/>
  <c r="D90" i="1"/>
  <c r="J82" i="1"/>
  <c r="L82" i="1" s="1"/>
  <c r="D82" i="1"/>
  <c r="C70" i="1"/>
  <c r="M80" i="1" l="1"/>
  <c r="M97" i="1"/>
  <c r="I80" i="1"/>
  <c r="L100" i="1"/>
  <c r="K90" i="1"/>
  <c r="L97" i="1"/>
  <c r="L90" i="1"/>
  <c r="M99" i="1"/>
  <c r="L80" i="1"/>
  <c r="I81" i="1"/>
  <c r="I88" i="1"/>
  <c r="I87" i="1"/>
  <c r="I83" i="1"/>
  <c r="K100" i="1"/>
  <c r="M90" i="1"/>
  <c r="K94" i="1"/>
  <c r="I94" i="1"/>
  <c r="L91" i="1"/>
  <c r="M82" i="1"/>
  <c r="M92" i="1"/>
  <c r="K82" i="1"/>
  <c r="K91" i="1"/>
  <c r="I92" i="1"/>
  <c r="L94" i="1"/>
  <c r="L98" i="1"/>
  <c r="L85" i="1"/>
  <c r="K93" i="1"/>
  <c r="M93" i="1"/>
  <c r="I82" i="1"/>
  <c r="L89" i="1"/>
  <c r="K99" i="1"/>
  <c r="M86" i="1"/>
  <c r="I95" i="1"/>
  <c r="I100" i="1"/>
  <c r="I89" i="1"/>
  <c r="I99" i="1"/>
  <c r="M96" i="1"/>
  <c r="L92" i="1"/>
  <c r="J101" i="1"/>
  <c r="D37" i="1" s="1"/>
  <c r="L93" i="1"/>
  <c r="M91" i="1"/>
  <c r="I96" i="1"/>
  <c r="I86" i="1"/>
  <c r="K98" i="1"/>
  <c r="K89" i="1"/>
  <c r="L95" i="1"/>
  <c r="M95" i="1"/>
  <c r="K97" i="1"/>
  <c r="L96" i="1"/>
  <c r="K86" i="1"/>
  <c r="K81" i="1"/>
  <c r="M87" i="1"/>
  <c r="L88" i="1"/>
  <c r="L84" i="1"/>
  <c r="K88" i="1"/>
  <c r="M81" i="1"/>
  <c r="L87" i="1"/>
  <c r="M83" i="1"/>
  <c r="M84" i="1"/>
  <c r="K83" i="1"/>
  <c r="I84" i="1"/>
  <c r="M85" i="1"/>
  <c r="M98" i="1"/>
  <c r="I85" i="1"/>
  <c r="E69" i="1"/>
  <c r="G69" i="1" s="1"/>
  <c r="E59" i="1"/>
  <c r="E62" i="1"/>
  <c r="E61" i="1"/>
  <c r="E60" i="1"/>
  <c r="E68" i="1"/>
  <c r="G68" i="1" s="1"/>
  <c r="E70" i="1"/>
  <c r="E58" i="1"/>
  <c r="E66" i="1"/>
  <c r="E67" i="1"/>
  <c r="E72" i="1"/>
  <c r="G72" i="1" s="1"/>
  <c r="E65" i="1"/>
  <c r="E71" i="1"/>
  <c r="G71" i="1" s="1"/>
  <c r="E64" i="1"/>
  <c r="E63" i="1"/>
  <c r="K101" i="1" l="1"/>
  <c r="E37" i="1" s="1"/>
  <c r="M101" i="1"/>
  <c r="G37" i="1" s="1"/>
  <c r="L101" i="1"/>
  <c r="F37" i="1" s="1"/>
  <c r="I101" i="1"/>
  <c r="C37" i="1" s="1"/>
  <c r="D212" i="1"/>
  <c r="F212" i="1" s="1"/>
  <c r="C218" i="1"/>
  <c r="E224" i="1"/>
  <c r="E230" i="1"/>
  <c r="E231" i="1"/>
  <c r="H37" i="1" l="1"/>
  <c r="D32" i="52"/>
  <c r="D33" i="52"/>
  <c r="E33" i="52" s="1"/>
  <c r="D30" i="52"/>
  <c r="D31" i="52"/>
  <c r="E31" i="52" s="1"/>
  <c r="C225" i="1"/>
  <c r="E225" i="1" s="1"/>
  <c r="D218" i="1"/>
  <c r="E218" i="1" s="1"/>
  <c r="D219" i="1"/>
  <c r="D217" i="1"/>
  <c r="K66" i="1"/>
  <c r="K67" i="1"/>
  <c r="L67" i="1" s="1"/>
  <c r="K68" i="1"/>
  <c r="K69" i="1"/>
  <c r="K70" i="1"/>
  <c r="L70" i="1" s="1"/>
  <c r="K71" i="1"/>
  <c r="K72" i="1"/>
  <c r="K63" i="1"/>
  <c r="K61" i="1"/>
  <c r="K58" i="1"/>
  <c r="I65" i="1"/>
  <c r="I64" i="1"/>
  <c r="I60" i="1"/>
  <c r="I59" i="1"/>
  <c r="G59" i="1" s="1"/>
  <c r="E119" i="4" l="1"/>
  <c r="F94" i="4"/>
  <c r="F65" i="1"/>
  <c r="F60" i="1"/>
  <c r="K59" i="1"/>
  <c r="L68" i="1" l="1"/>
  <c r="L72" i="1"/>
  <c r="L69" i="1"/>
  <c r="L71" i="1"/>
  <c r="M67" i="1" l="1"/>
  <c r="N67" i="1"/>
  <c r="O67" i="1"/>
  <c r="L66" i="1"/>
  <c r="M72" i="1"/>
  <c r="O72" i="1"/>
  <c r="N72" i="1"/>
  <c r="M68" i="1"/>
  <c r="N68" i="1"/>
  <c r="O68" i="1"/>
  <c r="M69" i="1"/>
  <c r="O69" i="1"/>
  <c r="N69" i="1"/>
  <c r="M71" i="1"/>
  <c r="O71" i="1"/>
  <c r="N71" i="1"/>
  <c r="K62" i="1"/>
  <c r="G64" i="1"/>
  <c r="L59" i="1"/>
  <c r="G65" i="1"/>
  <c r="G60" i="1"/>
  <c r="K60" i="1" s="1"/>
  <c r="L63" i="1"/>
  <c r="L61" i="1"/>
  <c r="K64" i="1" l="1"/>
  <c r="L64" i="1" s="1"/>
  <c r="K65" i="1"/>
  <c r="L65" i="1" s="1"/>
  <c r="L62" i="1"/>
  <c r="L58" i="1"/>
  <c r="M61" i="1"/>
  <c r="O61" i="1"/>
  <c r="N61" i="1"/>
  <c r="M70" i="1"/>
  <c r="O70" i="1"/>
  <c r="N70" i="1"/>
  <c r="M66" i="1"/>
  <c r="O66" i="1"/>
  <c r="N66" i="1"/>
  <c r="N59" i="1"/>
  <c r="O59" i="1"/>
  <c r="M59" i="1"/>
  <c r="M63" i="1"/>
  <c r="O63" i="1"/>
  <c r="N63" i="1"/>
  <c r="K73" i="1" l="1"/>
  <c r="C36" i="1" s="1"/>
  <c r="M62" i="1"/>
  <c r="O62" i="1"/>
  <c r="N62" i="1"/>
  <c r="O65" i="1"/>
  <c r="N65" i="1"/>
  <c r="M65" i="1"/>
  <c r="O64" i="1"/>
  <c r="N64" i="1"/>
  <c r="M64" i="1"/>
  <c r="L60" i="1"/>
  <c r="L73" i="1" s="1"/>
  <c r="N58" i="1"/>
  <c r="O58" i="1"/>
  <c r="M58" i="1"/>
  <c r="O22" i="25" l="1"/>
  <c r="O25" i="25" s="1"/>
  <c r="D103" i="46" s="1"/>
  <c r="D36" i="1"/>
  <c r="N60" i="1"/>
  <c r="N73" i="1" s="1"/>
  <c r="M60" i="1"/>
  <c r="M73" i="1" s="1"/>
  <c r="O60" i="1"/>
  <c r="E36" i="1" l="1"/>
  <c r="P22" i="25" s="1"/>
  <c r="U22" i="25" s="1"/>
  <c r="O73" i="1"/>
  <c r="G36" i="1" s="1"/>
  <c r="R22" i="25" s="1"/>
  <c r="F36" i="1"/>
  <c r="Q22" i="25" s="1"/>
  <c r="R25" i="25" l="1"/>
  <c r="H77" i="46" s="1"/>
  <c r="W22" i="25"/>
  <c r="P25" i="25"/>
  <c r="F77" i="46" s="1"/>
  <c r="H36" i="1"/>
  <c r="V22" i="25"/>
  <c r="Q25" i="25"/>
  <c r="G77" i="46" s="1"/>
  <c r="F59" i="24"/>
  <c r="I77" i="46" l="1"/>
  <c r="E59" i="24"/>
  <c r="I4" i="59"/>
  <c r="D33" i="24"/>
  <c r="I57" i="24"/>
  <c r="I58" i="24"/>
  <c r="I59" i="24"/>
  <c r="E32" i="24" l="1"/>
  <c r="E31" i="24"/>
  <c r="D67" i="24" s="1"/>
  <c r="G67" i="24" s="1"/>
  <c r="E30" i="24"/>
  <c r="L59" i="24"/>
  <c r="M59" i="24"/>
  <c r="N59" i="24"/>
  <c r="F18" i="1" l="1"/>
  <c r="H20" i="25" s="1"/>
  <c r="U20" i="25" s="1"/>
  <c r="F29" i="1"/>
  <c r="O59" i="24"/>
  <c r="P59" i="24" s="1"/>
  <c r="D38" i="24"/>
  <c r="G38" i="24" s="1"/>
  <c r="C43" i="24"/>
  <c r="D58" i="24"/>
  <c r="M58" i="24" s="1"/>
  <c r="D57" i="24"/>
  <c r="M57" i="24" s="1"/>
  <c r="C67" i="24"/>
  <c r="C38" i="24"/>
  <c r="D56" i="24"/>
  <c r="M56" i="24" s="1"/>
  <c r="E57" i="24"/>
  <c r="L57" i="24" s="1"/>
  <c r="E56" i="24"/>
  <c r="L56" i="24" s="1"/>
  <c r="D43" i="24"/>
  <c r="E58" i="24"/>
  <c r="L58" i="24" s="1"/>
  <c r="F57" i="24"/>
  <c r="N57" i="24" s="1"/>
  <c r="F56" i="24"/>
  <c r="N56" i="24" s="1"/>
  <c r="F58" i="24"/>
  <c r="N58" i="24" s="1"/>
  <c r="E43" i="24"/>
  <c r="E38" i="24"/>
  <c r="E67" i="24"/>
  <c r="F13" i="1"/>
  <c r="H13" i="25" s="1"/>
  <c r="U13" i="25" s="1"/>
  <c r="H67" i="24" l="1"/>
  <c r="G29" i="1" s="1"/>
  <c r="I67" i="24"/>
  <c r="H13" i="1" s="1"/>
  <c r="J13" i="25" s="1"/>
  <c r="W13" i="25" s="1"/>
  <c r="I43" i="24"/>
  <c r="H31" i="52" s="1"/>
  <c r="G43" i="24"/>
  <c r="F119" i="4" s="1"/>
  <c r="H38" i="24"/>
  <c r="G11" i="1" s="1"/>
  <c r="H43" i="24"/>
  <c r="I38" i="24"/>
  <c r="H27" i="1" s="1"/>
  <c r="O56" i="24"/>
  <c r="P56" i="24" s="1"/>
  <c r="O57" i="24"/>
  <c r="P57" i="24" s="1"/>
  <c r="O58" i="24"/>
  <c r="P58" i="24" s="1"/>
  <c r="N60" i="24"/>
  <c r="H12" i="1" s="1"/>
  <c r="N61" i="24"/>
  <c r="F27" i="1"/>
  <c r="M60" i="24"/>
  <c r="M61" i="24"/>
  <c r="G28" i="1" s="1"/>
  <c r="L61" i="24"/>
  <c r="G18" i="1"/>
  <c r="I20" i="25" s="1"/>
  <c r="V20" i="25" s="1"/>
  <c r="G13" i="1"/>
  <c r="I13" i="25" s="1"/>
  <c r="V13" i="25" s="1"/>
  <c r="L60" i="24"/>
  <c r="F12" i="1" s="1"/>
  <c r="H12" i="25" s="1"/>
  <c r="U12" i="25" s="1"/>
  <c r="N23" i="52"/>
  <c r="F11" i="1"/>
  <c r="H33" i="52" l="1"/>
  <c r="H29" i="1"/>
  <c r="I29" i="1" s="1"/>
  <c r="H18" i="1"/>
  <c r="J20" i="25" s="1"/>
  <c r="W20" i="25" s="1"/>
  <c r="J67" i="24"/>
  <c r="K67" i="24" s="1"/>
  <c r="F31" i="52"/>
  <c r="F33" i="52"/>
  <c r="P20" i="52"/>
  <c r="U112" i="4"/>
  <c r="H119" i="4"/>
  <c r="P22" i="52"/>
  <c r="G31" i="52"/>
  <c r="P23" i="52"/>
  <c r="P21" i="52"/>
  <c r="H17" i="1"/>
  <c r="J19" i="25" s="1"/>
  <c r="W19" i="25" s="1"/>
  <c r="H28" i="1"/>
  <c r="H30" i="1" s="1"/>
  <c r="F17" i="1"/>
  <c r="H19" i="25" s="1"/>
  <c r="U19" i="25" s="1"/>
  <c r="F28" i="1"/>
  <c r="F30" i="1" s="1"/>
  <c r="N20" i="52"/>
  <c r="H11" i="1"/>
  <c r="F119" i="24" s="1"/>
  <c r="I119" i="24" s="1"/>
  <c r="G33" i="52"/>
  <c r="O23" i="52"/>
  <c r="O21" i="52"/>
  <c r="G119" i="4"/>
  <c r="O20" i="52"/>
  <c r="T112" i="4"/>
  <c r="N22" i="52"/>
  <c r="S112" i="4"/>
  <c r="J38" i="24"/>
  <c r="K38" i="24" s="1"/>
  <c r="O22" i="52"/>
  <c r="N21" i="52"/>
  <c r="G27" i="1"/>
  <c r="G30" i="1" s="1"/>
  <c r="I3" i="59"/>
  <c r="G17" i="1"/>
  <c r="I19" i="25" s="1"/>
  <c r="V19" i="25" s="1"/>
  <c r="O61" i="24"/>
  <c r="P61" i="24" s="1"/>
  <c r="G12" i="1"/>
  <c r="E119" i="24" s="1"/>
  <c r="H119" i="24" s="1"/>
  <c r="O60" i="24"/>
  <c r="P60" i="24" s="1"/>
  <c r="D119" i="24"/>
  <c r="G119" i="24" s="1"/>
  <c r="C15" i="49"/>
  <c r="I119" i="4" l="1"/>
  <c r="I28" i="1"/>
  <c r="I27" i="1"/>
  <c r="I2" i="59"/>
  <c r="D68" i="51"/>
  <c r="E68" i="51" s="1"/>
  <c r="I30" i="1" l="1"/>
  <c r="F19" i="46" s="1"/>
  <c r="G19" i="46" s="1"/>
  <c r="G21" i="46" s="1"/>
  <c r="C76" i="51"/>
  <c r="D16" i="49"/>
  <c r="D53" i="49"/>
  <c r="D15" i="49"/>
  <c r="E15" i="49" s="1"/>
  <c r="D38" i="49"/>
  <c r="E36" i="46"/>
  <c r="E35" i="46"/>
  <c r="E33" i="46"/>
  <c r="F40" i="49" l="1"/>
  <c r="F41" i="49"/>
  <c r="F42" i="49"/>
  <c r="F43" i="49"/>
  <c r="F44" i="49"/>
  <c r="F39" i="49"/>
  <c r="T17" i="25"/>
  <c r="S17" i="25"/>
  <c r="E131" i="24" l="1"/>
  <c r="I16" i="1" l="1"/>
  <c r="I20" i="1" s="1"/>
  <c r="I11" i="1"/>
  <c r="I15" i="1" s="1"/>
  <c r="I21" i="1" l="1"/>
  <c r="F18" i="25"/>
  <c r="F11" i="25"/>
  <c r="G57" i="4" l="1"/>
  <c r="C19" i="24" l="1"/>
  <c r="C20" i="24" s="1"/>
  <c r="C24" i="24" s="1"/>
  <c r="C26" i="24" s="1"/>
  <c r="G224" i="1" l="1"/>
  <c r="G223" i="1"/>
  <c r="G225" i="1"/>
  <c r="J11" i="25"/>
  <c r="W11" i="25" s="1"/>
  <c r="H11" i="25"/>
  <c r="C23" i="24"/>
  <c r="C25" i="24" s="1"/>
  <c r="F223" i="1" s="1"/>
  <c r="E19" i="46" l="1"/>
  <c r="D19" i="46" s="1"/>
  <c r="D129" i="46" s="1"/>
  <c r="U11" i="25"/>
  <c r="F224" i="1"/>
  <c r="F225" i="1"/>
  <c r="D76" i="51"/>
  <c r="C16" i="49"/>
  <c r="G84" i="51"/>
  <c r="J24" i="49"/>
  <c r="F36" i="46"/>
  <c r="F35" i="46"/>
  <c r="F33" i="46"/>
  <c r="E113" i="4"/>
  <c r="E114" i="4"/>
  <c r="E24" i="52"/>
  <c r="G24" i="52" s="1"/>
  <c r="E19" i="52"/>
  <c r="M19" i="52" s="1"/>
  <c r="M25" i="52" s="1"/>
  <c r="G11" i="25"/>
  <c r="G19" i="25"/>
  <c r="D18" i="25"/>
  <c r="O12" i="16" l="1"/>
  <c r="O16" i="16" s="1"/>
  <c r="N12" i="16"/>
  <c r="E21" i="46"/>
  <c r="G20" i="63"/>
  <c r="I14" i="54"/>
  <c r="H93" i="46" s="1"/>
  <c r="I93" i="46" s="1"/>
  <c r="F64" i="46" s="1"/>
  <c r="D36" i="46" s="1"/>
  <c r="D12" i="52"/>
  <c r="F18" i="34" s="1"/>
  <c r="C30" i="52"/>
  <c r="C34" i="52" s="1"/>
  <c r="R113" i="4"/>
  <c r="M114" i="4"/>
  <c r="G114" i="4"/>
  <c r="I24" i="52"/>
  <c r="I25" i="52" s="1"/>
  <c r="F11" i="52" s="1"/>
  <c r="H24" i="52"/>
  <c r="O19" i="52"/>
  <c r="N19" i="52"/>
  <c r="P19" i="52"/>
  <c r="P25" i="52" s="1"/>
  <c r="E16" i="49"/>
  <c r="E17" i="49" s="1"/>
  <c r="D22" i="49" s="1"/>
  <c r="C17" i="49"/>
  <c r="J28" i="49"/>
  <c r="J23" i="49"/>
  <c r="J26" i="49"/>
  <c r="N16" i="16"/>
  <c r="D34" i="52"/>
  <c r="N14" i="16"/>
  <c r="H84" i="51"/>
  <c r="D12" i="51" s="1"/>
  <c r="G25" i="52"/>
  <c r="J24" i="52"/>
  <c r="J25" i="52" s="1"/>
  <c r="G11" i="52" s="1"/>
  <c r="F52" i="4"/>
  <c r="N13" i="16"/>
  <c r="J27" i="49"/>
  <c r="J25" i="49"/>
  <c r="O13" i="16"/>
  <c r="O14" i="16"/>
  <c r="E56" i="51"/>
  <c r="E14" i="46"/>
  <c r="F56" i="49"/>
  <c r="H56" i="49" s="1"/>
  <c r="F14" i="46"/>
  <c r="C56" i="51"/>
  <c r="C120" i="4" l="1"/>
  <c r="N17" i="16"/>
  <c r="N19" i="16" s="1"/>
  <c r="O17" i="16"/>
  <c r="T24" i="25" s="1"/>
  <c r="V24" i="25" s="1"/>
  <c r="G34" i="63"/>
  <c r="D140" i="46"/>
  <c r="E30" i="52"/>
  <c r="F30" i="52" s="1"/>
  <c r="S113" i="4"/>
  <c r="T113" i="4"/>
  <c r="N114" i="4"/>
  <c r="E120" i="4"/>
  <c r="U113" i="4"/>
  <c r="J114" i="4"/>
  <c r="H114" i="4"/>
  <c r="I114" i="4"/>
  <c r="C11" i="52"/>
  <c r="D17" i="34" s="1"/>
  <c r="F14" i="25"/>
  <c r="H25" i="52"/>
  <c r="E11" i="52" s="1"/>
  <c r="T27" i="25"/>
  <c r="G81" i="46" s="1"/>
  <c r="I81" i="46" s="1"/>
  <c r="I11" i="25"/>
  <c r="V11" i="25" s="1"/>
  <c r="E32" i="52"/>
  <c r="I17" i="34"/>
  <c r="G87" i="46" s="1"/>
  <c r="J29" i="49"/>
  <c r="C11" i="49" s="1"/>
  <c r="H13" i="54" s="1"/>
  <c r="H15" i="54" s="1"/>
  <c r="D13" i="54"/>
  <c r="J17" i="34"/>
  <c r="H87" i="46" s="1"/>
  <c r="D21" i="25"/>
  <c r="G36" i="46"/>
  <c r="G12" i="52"/>
  <c r="O25" i="52"/>
  <c r="F12" i="52" s="1"/>
  <c r="N25" i="52"/>
  <c r="E12" i="52" s="1"/>
  <c r="H44" i="49"/>
  <c r="F57" i="49"/>
  <c r="H57" i="49" s="1"/>
  <c r="H43" i="49"/>
  <c r="H42" i="49"/>
  <c r="H40" i="49"/>
  <c r="F58" i="49"/>
  <c r="H58" i="49" s="1"/>
  <c r="F59" i="49"/>
  <c r="H59" i="49" s="1"/>
  <c r="H41" i="49"/>
  <c r="F54" i="49"/>
  <c r="H54" i="49" s="1"/>
  <c r="F55" i="49"/>
  <c r="H55" i="49" s="1"/>
  <c r="H39" i="49"/>
  <c r="D77" i="51"/>
  <c r="D78" i="51" s="1"/>
  <c r="C12" i="51" s="1"/>
  <c r="C78" i="51"/>
  <c r="C11" i="54" s="1"/>
  <c r="I11" i="34" l="1"/>
  <c r="G82" i="46" s="1"/>
  <c r="I82" i="46" s="1"/>
  <c r="F53" i="46" s="1"/>
  <c r="S24" i="25"/>
  <c r="U24" i="25" s="1"/>
  <c r="O19" i="16"/>
  <c r="G12" i="51"/>
  <c r="G11" i="54" s="1"/>
  <c r="E34" i="52"/>
  <c r="G30" i="52"/>
  <c r="H30" i="52"/>
  <c r="D25" i="25"/>
  <c r="D102" i="46" s="1"/>
  <c r="G74" i="46"/>
  <c r="F17" i="25"/>
  <c r="G73" i="46" s="1"/>
  <c r="I73" i="46" s="1"/>
  <c r="V27" i="25"/>
  <c r="H17" i="34"/>
  <c r="F87" i="46" s="1"/>
  <c r="I87" i="46" s="1"/>
  <c r="F58" i="46" s="1"/>
  <c r="E11" i="34"/>
  <c r="G120" i="4"/>
  <c r="F120" i="4"/>
  <c r="H120" i="4"/>
  <c r="G32" i="52"/>
  <c r="H32" i="52"/>
  <c r="F32" i="52"/>
  <c r="F34" i="52" s="1"/>
  <c r="F52" i="46"/>
  <c r="D30" i="46" s="1"/>
  <c r="D14" i="25"/>
  <c r="D17" i="25" s="1"/>
  <c r="E14" i="25"/>
  <c r="G92" i="46"/>
  <c r="F30" i="46"/>
  <c r="E21" i="25"/>
  <c r="F21" i="25"/>
  <c r="H45" i="49"/>
  <c r="B11" i="49" s="1"/>
  <c r="G13" i="54" s="1"/>
  <c r="F92" i="46" s="1"/>
  <c r="H60" i="49"/>
  <c r="D11" i="49" s="1"/>
  <c r="I13" i="54" s="1"/>
  <c r="I15" i="54" s="1"/>
  <c r="D28" i="25" l="1"/>
  <c r="I120" i="4"/>
  <c r="G28" i="63"/>
  <c r="D130" i="46"/>
  <c r="H34" i="52"/>
  <c r="G13" i="52" s="1"/>
  <c r="G34" i="52"/>
  <c r="F13" i="52" s="1"/>
  <c r="G79" i="46"/>
  <c r="F25" i="25"/>
  <c r="F28" i="25" s="1"/>
  <c r="D13" i="52"/>
  <c r="G19" i="34" s="1"/>
  <c r="F90" i="46"/>
  <c r="I90" i="46" s="1"/>
  <c r="F61" i="46" s="1"/>
  <c r="D33" i="46" s="1"/>
  <c r="G15" i="54"/>
  <c r="S25" i="25"/>
  <c r="F80" i="46" s="1"/>
  <c r="E17" i="25"/>
  <c r="E25" i="25"/>
  <c r="F79" i="46" s="1"/>
  <c r="H92" i="46"/>
  <c r="I92" i="46" s="1"/>
  <c r="F63" i="46" s="1"/>
  <c r="E32" i="46"/>
  <c r="T25" i="25"/>
  <c r="J18" i="34"/>
  <c r="G31" i="63" l="1"/>
  <c r="D137" i="46"/>
  <c r="I79" i="46"/>
  <c r="G78" i="46"/>
  <c r="I78" i="46" s="1"/>
  <c r="E102" i="46" s="1"/>
  <c r="E28" i="25"/>
  <c r="D99" i="46"/>
  <c r="D105" i="46" s="1"/>
  <c r="T28" i="25"/>
  <c r="G80" i="46"/>
  <c r="I80" i="46" s="1"/>
  <c r="F51" i="46" s="1"/>
  <c r="F74" i="46"/>
  <c r="I74" i="46" s="1"/>
  <c r="F45" i="46" s="1"/>
  <c r="F48" i="46"/>
  <c r="E103" i="46"/>
  <c r="D35" i="46"/>
  <c r="I19" i="34"/>
  <c r="G89" i="46" s="1"/>
  <c r="F14" i="52"/>
  <c r="J19" i="34"/>
  <c r="H89" i="46" s="1"/>
  <c r="G14" i="52"/>
  <c r="G33" i="46"/>
  <c r="E13" i="52"/>
  <c r="E14" i="52" s="1"/>
  <c r="S28" i="25"/>
  <c r="G30" i="46"/>
  <c r="H18" i="34"/>
  <c r="I18" i="34"/>
  <c r="H88" i="46"/>
  <c r="F44" i="46"/>
  <c r="E99" i="46"/>
  <c r="G12" i="25"/>
  <c r="G35" i="46"/>
  <c r="G33" i="63" l="1"/>
  <c r="D139" i="46"/>
  <c r="H19" i="34"/>
  <c r="F89" i="46" s="1"/>
  <c r="I89" i="46" s="1"/>
  <c r="F60" i="46" s="1"/>
  <c r="G32" i="46" s="1"/>
  <c r="J20" i="34"/>
  <c r="G14" i="46"/>
  <c r="E30" i="46"/>
  <c r="J12" i="25"/>
  <c r="W12" i="25" s="1"/>
  <c r="I12" i="25"/>
  <c r="V12" i="25" s="1"/>
  <c r="F88" i="46"/>
  <c r="I20" i="34"/>
  <c r="G88" i="46"/>
  <c r="F49" i="46"/>
  <c r="E105" i="46"/>
  <c r="F50" i="46"/>
  <c r="D14" i="46"/>
  <c r="G15" i="63" l="1"/>
  <c r="H20" i="34"/>
  <c r="I88" i="46"/>
  <c r="F59" i="46" s="1"/>
  <c r="D32" i="46" s="1"/>
  <c r="E29" i="46"/>
  <c r="G30" i="63" l="1"/>
  <c r="D136" i="46"/>
  <c r="F32" i="46"/>
  <c r="H16" i="1" l="1"/>
  <c r="F120" i="24" s="1"/>
  <c r="F16" i="1"/>
  <c r="D120" i="24" s="1"/>
  <c r="G16" i="1"/>
  <c r="E120" i="24" s="1"/>
  <c r="K21" i="25"/>
  <c r="K25" i="25" s="1"/>
  <c r="G18" i="25"/>
  <c r="H120" i="24" l="1"/>
  <c r="I120" i="24"/>
  <c r="I94" i="4" s="1"/>
  <c r="H18" i="25"/>
  <c r="I18" i="25"/>
  <c r="V18" i="25" s="1"/>
  <c r="J18" i="25"/>
  <c r="W18" i="25" s="1"/>
  <c r="H80" i="4" l="1"/>
  <c r="H94" i="4"/>
  <c r="H218" i="1"/>
  <c r="N21" i="25" s="1"/>
  <c r="W21" i="25" s="1"/>
  <c r="I80" i="4"/>
  <c r="G218" i="1"/>
  <c r="M21" i="25" s="1"/>
  <c r="V21" i="25" s="1"/>
  <c r="G120" i="24"/>
  <c r="U18" i="25"/>
  <c r="G80" i="4" l="1"/>
  <c r="J80" i="4" s="1"/>
  <c r="F20" i="46" s="1"/>
  <c r="D20" i="46" s="1"/>
  <c r="G94" i="4"/>
  <c r="J94" i="4" s="1"/>
  <c r="N25" i="25"/>
  <c r="H76" i="46" s="1"/>
  <c r="M25" i="25"/>
  <c r="G76" i="46" s="1"/>
  <c r="F218" i="1"/>
  <c r="L21" i="25" s="1"/>
  <c r="L25" i="25" s="1"/>
  <c r="F76" i="46" s="1"/>
  <c r="F21" i="46" l="1"/>
  <c r="I76" i="46"/>
  <c r="F47" i="46" s="1"/>
  <c r="G29" i="46" s="1"/>
  <c r="G21" i="63"/>
  <c r="G22" i="63" s="1"/>
  <c r="D133" i="46"/>
  <c r="D21" i="46"/>
  <c r="U21" i="25"/>
  <c r="F66" i="4" l="1"/>
  <c r="C122" i="4" l="1"/>
  <c r="E122" i="4" s="1"/>
  <c r="F122" i="4" s="1"/>
  <c r="H66" i="4"/>
  <c r="G66" i="4"/>
  <c r="I66" i="4"/>
  <c r="C231" i="1"/>
  <c r="G122" i="4" l="1"/>
  <c r="H122" i="4"/>
  <c r="J66" i="4"/>
  <c r="G58" i="4"/>
  <c r="H58" i="4"/>
  <c r="I58" i="4"/>
  <c r="H59" i="4"/>
  <c r="I59" i="4"/>
  <c r="G59" i="4"/>
  <c r="F231" i="1"/>
  <c r="G231" i="1"/>
  <c r="I122" i="4" l="1"/>
  <c r="J59" i="4"/>
  <c r="J58" i="4"/>
  <c r="I57" i="4"/>
  <c r="H57" i="4"/>
  <c r="J57" i="4" l="1"/>
  <c r="D132" i="46" s="1"/>
  <c r="H46" i="4"/>
  <c r="G32" i="4" s="1"/>
  <c r="C22" i="4"/>
  <c r="I46" i="4" l="1"/>
  <c r="H32" i="4" s="1"/>
  <c r="G46" i="4"/>
  <c r="F32" i="4" s="1"/>
  <c r="I44" i="4"/>
  <c r="H30" i="4" s="1"/>
  <c r="G44" i="4"/>
  <c r="F30" i="4" s="1"/>
  <c r="H44" i="4"/>
  <c r="G30" i="4" s="1"/>
  <c r="C28" i="4" l="1"/>
  <c r="D12" i="34"/>
  <c r="D22" i="4"/>
  <c r="E22" i="4" s="1"/>
  <c r="J44" i="4"/>
  <c r="J46" i="4"/>
  <c r="C121" i="4"/>
  <c r="I45" i="4"/>
  <c r="H31" i="4" s="1"/>
  <c r="G45" i="4"/>
  <c r="F31" i="4" s="1"/>
  <c r="H45" i="4"/>
  <c r="G31" i="4" s="1"/>
  <c r="I43" i="4"/>
  <c r="H29" i="4" s="1"/>
  <c r="H43" i="4"/>
  <c r="G29" i="4" s="1"/>
  <c r="G43" i="4"/>
  <c r="F29" i="4" s="1"/>
  <c r="J22" i="4"/>
  <c r="J21" i="4" l="1"/>
  <c r="H21" i="4"/>
  <c r="I21" i="4"/>
  <c r="I22" i="4"/>
  <c r="J15" i="34"/>
  <c r="H86" i="46" s="1"/>
  <c r="J43" i="4"/>
  <c r="E21" i="4"/>
  <c r="I15" i="34"/>
  <c r="G86" i="46" s="1"/>
  <c r="H22" i="4"/>
  <c r="K22" i="4" s="1"/>
  <c r="L22" i="4" s="1"/>
  <c r="J45" i="4"/>
  <c r="H52" i="4"/>
  <c r="G38" i="4" s="1"/>
  <c r="C230" i="1"/>
  <c r="G52" i="4"/>
  <c r="F38" i="4" s="1"/>
  <c r="E38" i="4"/>
  <c r="I52" i="4"/>
  <c r="H38" i="4" s="1"/>
  <c r="I12" i="34"/>
  <c r="J12" i="34"/>
  <c r="H12" i="34"/>
  <c r="K21" i="4" l="1"/>
  <c r="L21" i="4" s="1"/>
  <c r="I13" i="34"/>
  <c r="G84" i="46" s="1"/>
  <c r="J13" i="34"/>
  <c r="H84" i="46" s="1"/>
  <c r="H15" i="34"/>
  <c r="F86" i="46" s="1"/>
  <c r="I86" i="46" s="1"/>
  <c r="F57" i="46" s="1"/>
  <c r="J52" i="4"/>
  <c r="D15" i="34"/>
  <c r="F13" i="34"/>
  <c r="F23" i="4"/>
  <c r="G23" i="4" s="1"/>
  <c r="F230" i="1"/>
  <c r="F232" i="1" s="1"/>
  <c r="D14" i="1" s="1"/>
  <c r="G230" i="1"/>
  <c r="G232" i="1" s="1"/>
  <c r="D19" i="1" s="1"/>
  <c r="C232" i="1"/>
  <c r="G83" i="46"/>
  <c r="F83" i="46"/>
  <c r="H83" i="46"/>
  <c r="H13" i="34" l="1"/>
  <c r="F84" i="46" s="1"/>
  <c r="I84" i="46" s="1"/>
  <c r="F55" i="46" s="1"/>
  <c r="I83" i="46"/>
  <c r="F54" i="46" s="1"/>
  <c r="G19" i="1"/>
  <c r="G20" i="1" s="1"/>
  <c r="G23" i="25"/>
  <c r="H19" i="1"/>
  <c r="H20" i="1" s="1"/>
  <c r="F19" i="1"/>
  <c r="F20" i="1" s="1"/>
  <c r="H14" i="1"/>
  <c r="H15" i="1" s="1"/>
  <c r="F14" i="1"/>
  <c r="F15" i="1" s="1"/>
  <c r="G16" i="25"/>
  <c r="G17" i="25" s="1"/>
  <c r="D15" i="1"/>
  <c r="G14" i="1"/>
  <c r="G15" i="1" s="1"/>
  <c r="E121" i="4"/>
  <c r="E125" i="4" l="1"/>
  <c r="G14" i="34" s="1"/>
  <c r="G25" i="25"/>
  <c r="D101" i="46" s="1"/>
  <c r="F31" i="46"/>
  <c r="F13" i="46" s="1"/>
  <c r="D21" i="1"/>
  <c r="C217" i="1"/>
  <c r="H23" i="25"/>
  <c r="G121" i="4"/>
  <c r="G125" i="4" s="1"/>
  <c r="H121" i="4"/>
  <c r="H125" i="4" s="1"/>
  <c r="F121" i="4"/>
  <c r="F125" i="4" s="1"/>
  <c r="D98" i="46"/>
  <c r="J23" i="25"/>
  <c r="J25" i="25" s="1"/>
  <c r="H16" i="25"/>
  <c r="H17" i="25" s="1"/>
  <c r="I16" i="25"/>
  <c r="I17" i="25" s="1"/>
  <c r="J16" i="25"/>
  <c r="J17" i="25" s="1"/>
  <c r="I23" i="25"/>
  <c r="I25" i="25" s="1"/>
  <c r="E31" i="46"/>
  <c r="G28" i="25" l="1"/>
  <c r="D104" i="46"/>
  <c r="H25" i="25"/>
  <c r="F75" i="46" s="1"/>
  <c r="I121" i="4"/>
  <c r="F70" i="46"/>
  <c r="E13" i="46"/>
  <c r="F21" i="1"/>
  <c r="H21" i="1"/>
  <c r="G21" i="1"/>
  <c r="H70" i="46"/>
  <c r="W16" i="25"/>
  <c r="U16" i="25"/>
  <c r="U23" i="25"/>
  <c r="J23" i="4"/>
  <c r="G75" i="46"/>
  <c r="V23" i="25"/>
  <c r="E217" i="1"/>
  <c r="F217" i="1" s="1"/>
  <c r="C219" i="1"/>
  <c r="E219" i="1" s="1"/>
  <c r="G70" i="46"/>
  <c r="V16" i="25"/>
  <c r="H75" i="46"/>
  <c r="W23" i="25"/>
  <c r="H23" i="4"/>
  <c r="I23" i="4"/>
  <c r="D131" i="46" l="1"/>
  <c r="I125" i="4"/>
  <c r="U25" i="25"/>
  <c r="I75" i="46"/>
  <c r="E101" i="46" s="1"/>
  <c r="I70" i="46"/>
  <c r="W25" i="25"/>
  <c r="V25" i="25"/>
  <c r="K23" i="4"/>
  <c r="M23" i="4" s="1"/>
  <c r="I14" i="34"/>
  <c r="G217" i="1"/>
  <c r="M14" i="25" s="1"/>
  <c r="M17" i="25" s="1"/>
  <c r="H217" i="1"/>
  <c r="K14" i="25"/>
  <c r="J14" i="34"/>
  <c r="H28" i="25"/>
  <c r="H14" i="34"/>
  <c r="I28" i="25"/>
  <c r="J28" i="25"/>
  <c r="K17" i="25" l="1"/>
  <c r="K28" i="25" s="1"/>
  <c r="F46" i="46"/>
  <c r="H219" i="1"/>
  <c r="N14" i="25"/>
  <c r="N17" i="25" s="1"/>
  <c r="H16" i="34"/>
  <c r="H21" i="34" s="1"/>
  <c r="F85" i="46"/>
  <c r="J16" i="34"/>
  <c r="J21" i="34" s="1"/>
  <c r="H85" i="46"/>
  <c r="G219" i="1"/>
  <c r="F219" i="1"/>
  <c r="L14" i="25"/>
  <c r="L17" i="25" s="1"/>
  <c r="G85" i="46"/>
  <c r="I16" i="34"/>
  <c r="I21" i="34" s="1"/>
  <c r="D29" i="46" l="1"/>
  <c r="F29" i="46"/>
  <c r="V14" i="25"/>
  <c r="G71" i="46"/>
  <c r="I85" i="46"/>
  <c r="F56" i="46" s="1"/>
  <c r="U14" i="25"/>
  <c r="W14" i="25"/>
  <c r="H71" i="46"/>
  <c r="F41" i="46"/>
  <c r="E98" i="46"/>
  <c r="D31" i="46" l="1"/>
  <c r="G27" i="63"/>
  <c r="D128" i="46"/>
  <c r="F71" i="46"/>
  <c r="F28" i="46"/>
  <c r="F37" i="46" s="1"/>
  <c r="G31" i="46"/>
  <c r="G13" i="46" s="1"/>
  <c r="M28" i="25"/>
  <c r="N28" i="25"/>
  <c r="E104" i="46"/>
  <c r="L28" i="25"/>
  <c r="G29" i="63" l="1"/>
  <c r="I71" i="46"/>
  <c r="F12" i="46"/>
  <c r="D13" i="46"/>
  <c r="G14" i="63" s="1"/>
  <c r="F15" i="46" l="1"/>
  <c r="F42" i="46"/>
  <c r="G28" i="46" l="1"/>
  <c r="G37" i="46" l="1"/>
  <c r="G12" i="46"/>
  <c r="G15" i="46" l="1"/>
  <c r="F43" i="1" l="1"/>
  <c r="F45" i="1" l="1"/>
  <c r="I45" i="1" s="1"/>
  <c r="J45" i="1" s="1"/>
  <c r="F44" i="1"/>
  <c r="I44" i="1" s="1"/>
  <c r="J44" i="1" s="1"/>
  <c r="I43" i="1"/>
  <c r="F46" i="1"/>
  <c r="I46" i="1" s="1"/>
  <c r="J46" i="1" s="1"/>
  <c r="F47" i="1"/>
  <c r="I47" i="1" s="1"/>
  <c r="J47" i="1" s="1"/>
  <c r="K47" i="1" l="1"/>
  <c r="L47" i="1"/>
  <c r="M47" i="1"/>
  <c r="K46" i="1"/>
  <c r="M46" i="1"/>
  <c r="L46" i="1"/>
  <c r="I48" i="1"/>
  <c r="C35" i="1" s="1"/>
  <c r="J43" i="1"/>
  <c r="K44" i="1"/>
  <c r="M44" i="1"/>
  <c r="L44" i="1"/>
  <c r="M45" i="1"/>
  <c r="L45" i="1"/>
  <c r="K45" i="1"/>
  <c r="J48" i="1" l="1"/>
  <c r="D35" i="1" s="1"/>
  <c r="D39" i="1" s="1"/>
  <c r="L43" i="1"/>
  <c r="L48" i="1" s="1"/>
  <c r="F35" i="1" s="1"/>
  <c r="M43" i="1"/>
  <c r="M48" i="1" s="1"/>
  <c r="G35" i="1" s="1"/>
  <c r="K43" i="1"/>
  <c r="K48" i="1" s="1"/>
  <c r="E35" i="1" s="1"/>
  <c r="O15" i="25"/>
  <c r="C39" i="1"/>
  <c r="O28" i="25" l="1"/>
  <c r="O17" i="25"/>
  <c r="D100" i="46" s="1"/>
  <c r="D106" i="46" s="1"/>
  <c r="H35" i="1"/>
  <c r="H39" i="1" s="1"/>
  <c r="E39" i="1"/>
  <c r="P15" i="25"/>
  <c r="R15" i="25"/>
  <c r="G39" i="1"/>
  <c r="F39" i="1"/>
  <c r="Q15" i="25"/>
  <c r="V17" i="25" l="1"/>
  <c r="V15" i="25"/>
  <c r="Q28" i="25"/>
  <c r="V28" i="25" s="1"/>
  <c r="Q17" i="25"/>
  <c r="G72" i="46" s="1"/>
  <c r="G94" i="46" s="1"/>
  <c r="R17" i="25"/>
  <c r="H72" i="46" s="1"/>
  <c r="H94" i="46" s="1"/>
  <c r="W15" i="25"/>
  <c r="W17" i="25"/>
  <c r="R28" i="25"/>
  <c r="W28" i="25" s="1"/>
  <c r="P28" i="25"/>
  <c r="U28" i="25" s="1"/>
  <c r="P17" i="25"/>
  <c r="U15" i="25"/>
  <c r="F72" i="46" l="1"/>
  <c r="U17" i="25"/>
  <c r="I72" i="46" l="1"/>
  <c r="F94" i="46"/>
  <c r="I94" i="46" l="1"/>
  <c r="F43" i="46"/>
  <c r="E100" i="46"/>
  <c r="F105" i="46" l="1"/>
  <c r="F101" i="46"/>
  <c r="F99" i="46"/>
  <c r="F100" i="46"/>
  <c r="F104" i="46"/>
  <c r="E106" i="46"/>
  <c r="F106" i="46" s="1"/>
  <c r="F98" i="46"/>
  <c r="F103" i="46"/>
  <c r="F102" i="46"/>
  <c r="E28" i="46"/>
  <c r="D28" i="46"/>
  <c r="F65" i="46"/>
  <c r="E37" i="46" l="1"/>
  <c r="E12" i="46"/>
  <c r="E15" i="46" s="1"/>
  <c r="D37" i="46"/>
  <c r="C115" i="46" s="1"/>
  <c r="D127" i="46"/>
  <c r="G26" i="63"/>
  <c r="G35" i="63" s="1"/>
  <c r="D12" i="46"/>
  <c r="G13" i="63" l="1"/>
  <c r="G16" i="63" s="1"/>
  <c r="D15" i="46"/>
  <c r="D141" i="46"/>
  <c r="C153" i="46" s="1"/>
  <c r="C121" i="46"/>
  <c r="C118" i="46"/>
  <c r="C116" i="46"/>
  <c r="C123" i="46"/>
  <c r="C117" i="46"/>
  <c r="C122" i="46"/>
  <c r="C119" i="46"/>
  <c r="C120" i="46"/>
  <c r="C145" i="46" l="1"/>
  <c r="C152" i="46"/>
  <c r="C146" i="46"/>
  <c r="C150" i="46"/>
  <c r="C154" i="46"/>
  <c r="C155" i="46"/>
  <c r="C151" i="46"/>
  <c r="C149" i="46"/>
  <c r="C147" i="46"/>
  <c r="C148" i="46"/>
</calcChain>
</file>

<file path=xl/sharedStrings.xml><?xml version="1.0" encoding="utf-8"?>
<sst xmlns="http://schemas.openxmlformats.org/spreadsheetml/2006/main" count="2894" uniqueCount="1752">
  <si>
    <t>MAPC Community Greenhouse Gas Inventory Tool</t>
  </si>
  <si>
    <t>Data Input</t>
  </si>
  <si>
    <t>Please enter community-specific data below using the instructions provided. Green cells must be updated for the tool to function properly. Blue cells are not applicable to all communities or data may be input by others (i.e. MAPC).</t>
  </si>
  <si>
    <t>Links to Input Tables:</t>
  </si>
  <si>
    <t>Energy Data</t>
  </si>
  <si>
    <t>Transportation Data</t>
  </si>
  <si>
    <t>Waste Data</t>
  </si>
  <si>
    <t xml:space="preserve">Select your city or town from the drop down menu: </t>
  </si>
  <si>
    <t>Abington</t>
  </si>
  <si>
    <t xml:space="preserve">Inventory year: </t>
  </si>
  <si>
    <t>ELECTRICITY AND NATURAL GAS</t>
  </si>
  <si>
    <r>
      <t xml:space="preserve">Which investor-owned utility or utilities provide(s) electricity in your community? </t>
    </r>
    <r>
      <rPr>
        <i/>
        <sz val="10"/>
        <rFont val="Arial"/>
        <family val="2"/>
      </rPr>
      <t>(Use drop down menu to select)</t>
    </r>
  </si>
  <si>
    <t>Eversource</t>
  </si>
  <si>
    <r>
      <t xml:space="preserve">If not served by an investor-owned utility, which municipally-owned utility supplies electricity in your community? </t>
    </r>
    <r>
      <rPr>
        <i/>
        <sz val="10"/>
        <rFont val="Arial"/>
        <family val="2"/>
      </rPr>
      <t>(Use drop down menu to select)</t>
    </r>
  </si>
  <si>
    <t>Not served by municipal utility</t>
  </si>
  <si>
    <r>
      <rPr>
        <b/>
        <u/>
        <sz val="10"/>
        <rFont val="Arial"/>
        <family val="2"/>
      </rPr>
      <t>Optional Question Instructions:</t>
    </r>
    <r>
      <rPr>
        <sz val="10"/>
        <rFont val="Arial"/>
        <family val="2"/>
      </rPr>
      <t xml:space="preserve"> 
1) </t>
    </r>
    <r>
      <rPr>
        <b/>
        <sz val="10"/>
        <rFont val="Arial"/>
        <family val="2"/>
      </rPr>
      <t>If your community's electricity is provided by both Eversource &amp; NGRID</t>
    </r>
    <r>
      <rPr>
        <sz val="10"/>
        <rFont val="Arial"/>
        <family val="2"/>
      </rPr>
      <t xml:space="preserve">, please indicate below the estimated percentage of electricity that is provided by each investor-owned utility. Total must add up to 100%. This information will be used to estimate the utility-specific weighted electricity emission factor. 
2) </t>
    </r>
    <r>
      <rPr>
        <b/>
        <sz val="10"/>
        <rFont val="Arial"/>
        <family val="2"/>
      </rPr>
      <t>If your community's electricity is provided by only one investor-owned utility (either Eversource or NGRID) or is served by a municipal utility</t>
    </r>
    <r>
      <rPr>
        <sz val="10"/>
        <rFont val="Arial"/>
        <family val="2"/>
      </rPr>
      <t xml:space="preserve">, skip this table. </t>
    </r>
  </si>
  <si>
    <t>Investor Owned Utility Electricity Service Coverage</t>
  </si>
  <si>
    <t>Electricity Rate</t>
  </si>
  <si>
    <t>% of Community Served by Utility</t>
  </si>
  <si>
    <t>Eversource (Eastern or Western)</t>
  </si>
  <si>
    <t>NGRID</t>
  </si>
  <si>
    <r>
      <rPr>
        <b/>
        <u/>
        <sz val="10"/>
        <rFont val="Arial"/>
        <family val="2"/>
      </rPr>
      <t>Mandatory Question Instructions:</t>
    </r>
    <r>
      <rPr>
        <sz val="10"/>
        <rFont val="Arial"/>
        <family val="2"/>
      </rPr>
      <t xml:space="preserve"> 
Use the hyperlink to the right to access the "MassSaveData" website. Click on the "Geographic" button in the top right and select "Usage By Month." Use the drop-downs in the top left to select "Electricity" or "Gas" and the appropriate year. Find your community and enter the "Annual" total on the far right for both the "Residential" and "Commercial &amp; Industrial" sectors in the table below. If your community obtains electricity and/or gas through a municipal utility, do not enter that consumption data in this table. See below table for municipal utilities. </t>
    </r>
  </si>
  <si>
    <t>MassSaveData Source</t>
  </si>
  <si>
    <t>MassSave Electricity and Natural Gas Consumption Data</t>
  </si>
  <si>
    <t>Sector</t>
  </si>
  <si>
    <t>Total Annual Electricity Consumption (MWh / Year)</t>
  </si>
  <si>
    <t>Annual Natural Gas Consumption (Therms / Year)</t>
  </si>
  <si>
    <t>Residential:</t>
  </si>
  <si>
    <t>Commercial &amp; Industrial:</t>
  </si>
  <si>
    <t>Combined Total:</t>
  </si>
  <si>
    <r>
      <rPr>
        <b/>
        <u/>
        <sz val="10"/>
        <rFont val="Arial"/>
        <family val="2"/>
      </rPr>
      <t>Optional Question Instructions:</t>
    </r>
    <r>
      <rPr>
        <sz val="10"/>
        <rFont val="Arial"/>
        <family val="2"/>
      </rPr>
      <t xml:space="preserve"> 
Communities may use this table to enter electricity, natural gas, and heating oil consumption data from MassEnergyInsight. Note that the electricity and natural gas consumption data for municipal operations is also included in the MassSaveData. We break them out here so that communities may track emissions from municipal operations separately. The emissions associated with MassEnergyInsight data </t>
    </r>
    <r>
      <rPr>
        <u/>
        <sz val="10"/>
        <rFont val="Arial"/>
        <family val="2"/>
      </rPr>
      <t>do not get added</t>
    </r>
    <r>
      <rPr>
        <sz val="10"/>
        <rFont val="Arial"/>
        <family val="2"/>
      </rPr>
      <t xml:space="preserve"> to MassSaveData for building energy consumption, otherwise they will be double counted.   
To find usage data by fiscal year in MassEnergyInsight, click 'view reports', and then the tab labeled 'use and cost table'. Note that delivered fuels and vehicle fleet may not align if not monthly entries.</t>
    </r>
  </si>
  <si>
    <t>MassEnergyInsight Data</t>
  </si>
  <si>
    <t>MassEnergyInsight Municipal Electricity, Natural Gas, and Heating Oil Consumption Data</t>
  </si>
  <si>
    <t>Total Annual Electricity Consumption (kWh / Year)</t>
  </si>
  <si>
    <t>Annual Heating Oil Consumption (Gallons / Year)</t>
  </si>
  <si>
    <t>Municipal Operations</t>
  </si>
  <si>
    <t>Service Provider:</t>
  </si>
  <si>
    <t>IOU</t>
  </si>
  <si>
    <t>If municipal facilities are enrolled in the CCA, which program rate are they are subscribed to?</t>
  </si>
  <si>
    <t>N/A</t>
  </si>
  <si>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t>
    </r>
    <r>
      <rPr>
        <b/>
        <u/>
        <sz val="10"/>
        <rFont val="Arial"/>
        <family val="2"/>
      </rPr>
      <t>do</t>
    </r>
    <r>
      <rPr>
        <b/>
        <sz val="10"/>
        <rFont val="Arial"/>
        <family val="2"/>
      </rPr>
      <t xml:space="preserve"> have community choice aggregation</t>
    </r>
    <r>
      <rPr>
        <sz val="10"/>
        <rFont val="Arial"/>
        <family val="2"/>
      </rPr>
      <t xml:space="preserve"> in your community, contact your community choice aggregation or retail electricity provider to obtain data on the annual electricity consumption for the inventory year by rate (e.g. "Traditional", "5% Green", "50% Green", "100% Green") and by sector (e.g. "Residential" and "Commercial &amp; Industrial"). The number of rates will vary from community to community. For example, some communities will have three residential rates while others will have four residential rates. If, for example, your community only has three residential rates, in the "Residential Rate 4" row select "No" in the "Include This Rate in Calculations?" column. For each rate, you will also need to obtain information from your community choice aggregation or retail provider on the percent of "Class I Voluntary RECs" associated with each rate. Enter the appropriate data in the table below.
2) </t>
    </r>
    <r>
      <rPr>
        <b/>
        <sz val="10"/>
        <rFont val="Arial"/>
        <family val="2"/>
      </rPr>
      <t xml:space="preserve">If you </t>
    </r>
    <r>
      <rPr>
        <b/>
        <u/>
        <sz val="10"/>
        <rFont val="Arial"/>
        <family val="2"/>
      </rPr>
      <t>do not</t>
    </r>
    <r>
      <rPr>
        <b/>
        <sz val="10"/>
        <rFont val="Arial"/>
        <family val="2"/>
      </rPr>
      <t xml:space="preserve"> have community choice aggregation</t>
    </r>
    <r>
      <rPr>
        <sz val="10"/>
        <rFont val="Arial"/>
        <family val="2"/>
      </rPr>
      <t xml:space="preserve"> in your community, skip this table. </t>
    </r>
  </si>
  <si>
    <t>Community Choice Electricity Consumption Data</t>
  </si>
  <si>
    <t>Include This Rate in Calculations?</t>
  </si>
  <si>
    <t>% of Class I Voluntary RECs</t>
  </si>
  <si>
    <t>Residential Rate 1</t>
  </si>
  <si>
    <t>No</t>
  </si>
  <si>
    <t>Residential Rate 2</t>
  </si>
  <si>
    <t>Residential Rate 3</t>
  </si>
  <si>
    <t>Residential Rate 4</t>
  </si>
  <si>
    <t>Total CCA Residential</t>
  </si>
  <si>
    <t>C&amp;I Rate 1</t>
  </si>
  <si>
    <t>C&amp;I Rate 2</t>
  </si>
  <si>
    <t>C&amp;I Rate 3</t>
  </si>
  <si>
    <t>C&amp;I Rate 4</t>
  </si>
  <si>
    <t>Total CCA Commercial &amp; Industrial</t>
  </si>
  <si>
    <t>Total CCA Residential, Commercial &amp; Industrial</t>
  </si>
  <si>
    <r>
      <rPr>
        <b/>
        <u/>
        <sz val="10"/>
        <rFont val="Arial"/>
        <family val="2"/>
      </rPr>
      <t>Mandatory Question Instructions:</t>
    </r>
    <r>
      <rPr>
        <b/>
        <sz val="10"/>
        <rFont val="Arial"/>
        <family val="2"/>
      </rPr>
      <t xml:space="preserve"> </t>
    </r>
    <r>
      <rPr>
        <sz val="10"/>
        <rFont val="Arial"/>
        <family val="2"/>
      </rPr>
      <t xml:space="preserve">
1) </t>
    </r>
    <r>
      <rPr>
        <b/>
        <sz val="10"/>
        <rFont val="Arial"/>
        <family val="2"/>
      </rPr>
      <t>If your electricity or gas is provided by a municipal utility</t>
    </r>
    <r>
      <rPr>
        <sz val="10"/>
        <rFont val="Arial"/>
        <family val="2"/>
      </rPr>
      <t xml:space="preserve">, contact your municipal utility to obtain data on the annual electricity consumption and/or natural gas consumption for the inventory year by sector (e.g. "Residential" and "Commercial &amp; Industrial"). Enter the appropriate data in the table below.
2) </t>
    </r>
    <r>
      <rPr>
        <b/>
        <sz val="10"/>
        <rFont val="Arial"/>
        <family val="2"/>
      </rPr>
      <t xml:space="preserve">If you </t>
    </r>
    <r>
      <rPr>
        <b/>
        <u/>
        <sz val="10"/>
        <rFont val="Arial"/>
        <family val="2"/>
      </rPr>
      <t>do not have</t>
    </r>
    <r>
      <rPr>
        <b/>
        <sz val="10"/>
        <rFont val="Arial"/>
        <family val="2"/>
      </rPr>
      <t xml:space="preserve"> a municipal utility</t>
    </r>
    <r>
      <rPr>
        <sz val="10"/>
        <rFont val="Arial"/>
        <family val="2"/>
      </rPr>
      <t xml:space="preserve"> in your community, skip this table.  </t>
    </r>
  </si>
  <si>
    <t>Municipal Utility Electricity and/or Natural Gas Consumption Data</t>
  </si>
  <si>
    <t>Total Natural Gas Consumption (therms / Year)</t>
  </si>
  <si>
    <t>Residential</t>
  </si>
  <si>
    <t>Commercial &amp; Industrial</t>
  </si>
  <si>
    <t>Total</t>
  </si>
  <si>
    <t>HEATING OIL</t>
  </si>
  <si>
    <r>
      <rPr>
        <b/>
        <u/>
        <sz val="10"/>
        <rFont val="Arial"/>
        <family val="2"/>
      </rPr>
      <t>Mandatory Question Instructions:</t>
    </r>
    <r>
      <rPr>
        <sz val="10"/>
        <rFont val="Arial"/>
        <family val="2"/>
      </rPr>
      <t xml:space="preserve"> 
Use the hyperlink to the right to access the Massachusetts Executive office of Labor and Workforce Development (EOLWD) Employment and Wages (ES-202) data. 
1) "Select Area Type" drop-down: Select "City or Town"
2) "Select Specific Geogrpahic Area" drop-down: Select your community
3) "Select a Year" drop-down: Select your inventory year
4) "Select the Time Period" drop-down: Select "Annual Report"
5) "Select the Ownership" drop-down: Select "All ownership types"
6) "Select an Industry or Industry Sector" drop-down: Select "Total, All Industries"
7) "Select the Category" option: Select "Category and all sub-categories"
8) Select the link to "Download and save the data as a Comma Separated Value (CSV) File". Open the CSV. 
9) Sort Column A ("NAICS") to "Sort smallest to largest"
10) </t>
    </r>
    <r>
      <rPr>
        <u/>
        <sz val="10"/>
        <rFont val="Arial"/>
        <family val="2"/>
      </rPr>
      <t>Only include data that has a 3-digit NAICS code</t>
    </r>
    <r>
      <rPr>
        <sz val="10"/>
        <rFont val="Arial"/>
        <family val="2"/>
      </rPr>
      <t xml:space="preserve"> in column A. Take data from Column A ("NAICS"), Column C ("No. of Establishments") and column Q ("Average Monthly Employment") for all rows of data with a 3-digit NAICS code and paste it in the table below. 
The number of NAICS codes in each community will vary considerably. It is very likely that the below table will have blank rows after it is populated with your community's data. 
</t>
    </r>
  </si>
  <si>
    <t>EOLWD Source</t>
  </si>
  <si>
    <t>Number of Establishments and Monthly Employment by NAICS Code</t>
  </si>
  <si>
    <t>Column A - NAICS</t>
  </si>
  <si>
    <t>Column C - No. of Establishments</t>
  </si>
  <si>
    <t>Column Q - Average Monthly Employment</t>
  </si>
  <si>
    <r>
      <rPr>
        <b/>
        <u/>
        <sz val="10"/>
        <rFont val="Arial"/>
        <family val="2"/>
      </rPr>
      <t>Mandatory Question Instructions Part 1:</t>
    </r>
    <r>
      <rPr>
        <sz val="10"/>
        <rFont val="Arial"/>
        <family val="2"/>
      </rPr>
      <t xml:space="preserve"> 
Use the hyperlink to the right to access ACS data for Housing Tenure by Units in Structure on MAPC's DataCommon
1) Select the applicable five year estimate range (for 2022, this is 2018-2022).
2) Click the "CSV" button in the top right of the display to download the data, or simply view in the browser.
3) Navigate to the appropriate row of data for your municipality. Enter the number of households in your community for each "Units in Structure" category below. The applicable meta data field name is provided in parantheses.
</t>
    </r>
  </si>
  <si>
    <t>MAPC DataCommon Housing by Units</t>
  </si>
  <si>
    <r>
      <rPr>
        <b/>
        <u/>
        <sz val="10"/>
        <rFont val="Arial"/>
        <family val="2"/>
      </rPr>
      <t>Mandatory Question Instructions Part 2:</t>
    </r>
    <r>
      <rPr>
        <sz val="10"/>
        <rFont val="Arial"/>
        <family val="2"/>
      </rPr>
      <t xml:space="preserve"> 
Use the hyperlink to the right to access ACS data for Housing Tenure by Fuel Type on MAPC's DataCommon
1) Select the applicable five year estimate range (for 2022, this is 2018-2022).
2) Click the "CSV" button in the top right of the display to download the data, or simply view in the browser.
3) Navigate to the appropriate row of data for your municipality. Enter the value for "% of households heated by Oil" below.</t>
    </r>
  </si>
  <si>
    <t>MAPC DataCommon Housing by Fuel Type</t>
  </si>
  <si>
    <t>Households in Community by Housing Type &amp; Percent of Homes Using Fuel Oil</t>
  </si>
  <si>
    <t>Housing Type</t>
  </si>
  <si>
    <t>Number of Households in Community</t>
  </si>
  <si>
    <t>1-unit, detached (u1d)</t>
  </si>
  <si>
    <t>1-unit, attached (u1a)</t>
  </si>
  <si>
    <t>2 units (u2)</t>
  </si>
  <si>
    <t>3 or 4 units (u3_4)</t>
  </si>
  <si>
    <t>5 to 9 units (u5_9)</t>
  </si>
  <si>
    <t>10 to 19 units (u10_19)</t>
  </si>
  <si>
    <t>20 or more units (u20ov)</t>
  </si>
  <si>
    <t>Mobiles homes (mobl)</t>
  </si>
  <si>
    <t>House Heating Fuel</t>
  </si>
  <si>
    <t>Percent Occupied Housing Units in Community</t>
  </si>
  <si>
    <t>Fuel oil, kerosene, etc. (oil_p)</t>
  </si>
  <si>
    <t>OFF ROAD</t>
  </si>
  <si>
    <r>
      <rPr>
        <b/>
        <u/>
        <sz val="10"/>
        <color rgb="FF000000"/>
        <rFont val="Arial"/>
        <family val="2"/>
      </rPr>
      <t xml:space="preserve">Mandatory Question Instructions Part 1: Total Employment
</t>
    </r>
    <r>
      <rPr>
        <u/>
        <sz val="10"/>
        <color rgb="FF000000"/>
        <rFont val="Arial"/>
        <family val="2"/>
      </rPr>
      <t xml:space="preserve">County Data:
</t>
    </r>
    <r>
      <rPr>
        <sz val="10"/>
        <color rgb="FF000000"/>
        <rFont val="Arial"/>
        <family val="2"/>
      </rPr>
      <t xml:space="preserve">Use the hyperlink to the right to access the U.S. Census Data search.
1) Enter "S2405" into the search bar and select "Search"
2) Select the table titled "Industry by Occupation for the Civilian Employed Population 16 Years and Over"
3) Under the "Geos" dropdown select "County" &gt; "Massachusetts" &gt; your county.
4) Under the "Dataset" dropdown select the ACS 5-year estimates for your inventory year.
5) Under the "Year" dropdown, select your inventory year.
6) For the top row ("Civilian employed population 16 years and over") find the "Total" Estimate column. Enter this data as total employment for the county in the below table. 
</t>
    </r>
    <r>
      <rPr>
        <b/>
        <u/>
        <sz val="10"/>
        <color rgb="FF000000"/>
        <rFont val="Arial"/>
        <family val="2"/>
      </rPr>
      <t xml:space="preserve">
</t>
    </r>
    <r>
      <rPr>
        <u/>
        <sz val="10"/>
        <color rgb="FF000000"/>
        <rFont val="Arial"/>
        <family val="2"/>
      </rPr>
      <t xml:space="preserve">City/Town Data:
</t>
    </r>
    <r>
      <rPr>
        <sz val="10"/>
        <color rgb="FF000000"/>
        <rFont val="Arial"/>
        <family val="2"/>
      </rPr>
      <t>Use the hyperlink to the right to access the Massachusetts Department of Economic Research Employment and Wages Data.
1) Select "City or Town" for Area Type
2) Select your city or town for Specific Geographic Area
3) Select appropriate inventory year for Year
4) Select "Annual Report" for Time Period
5) Select "All ownership types" for Ownership
6) Select "Total, All Industries" for Industry or Industry Sector
7) Select "Category Only"
8) Select "View and Print the Data" or download the CSV file and input the average of the monthly values</t>
    </r>
  </si>
  <si>
    <t>U.S. Census Data</t>
  </si>
  <si>
    <t>MA Department of Economic Research: Employment and Wages (ES-202)</t>
  </si>
  <si>
    <r>
      <rPr>
        <b/>
        <u/>
        <sz val="10"/>
        <color rgb="FF000000"/>
        <rFont val="Arial"/>
        <family val="2"/>
      </rPr>
      <t>Mandatory Question Instructions Part 2: Manufacturing Employment</t>
    </r>
    <r>
      <rPr>
        <sz val="10"/>
        <color rgb="FF000000"/>
        <rFont val="Arial"/>
        <family val="2"/>
      </rPr>
      <t xml:space="preserve"> 
</t>
    </r>
    <r>
      <rPr>
        <u/>
        <sz val="10"/>
        <color rgb="FF000000"/>
        <rFont val="Arial"/>
        <family val="2"/>
      </rPr>
      <t xml:space="preserve">County Data:
</t>
    </r>
    <r>
      <rPr>
        <sz val="10"/>
        <color rgb="FF000000"/>
        <rFont val="Arial"/>
        <family val="2"/>
      </rPr>
      <t xml:space="preserve">Use the hyperlink to the right to access the U.S. Census Data search.
1) Enter "S2405" into the search bar and select "Search"
2) Select the table titled "Industry by Occupation for the Civilian Employed Population 16 Years and Over"
3) Under the "Geos" dropdown select "County" &gt; "Massachusetts" &gt; your county.
4) Under the "Dataset" dropdown select the ACS 5-year estimates for your inventory year.
5) Under the "Year" dropdown, select your inventory year. 
6) Find the "Manufacturing" row and enter the value in the "Total" Estimate column as Manufacturing Employment for the county in the below table.
</t>
    </r>
    <r>
      <rPr>
        <u/>
        <sz val="10"/>
        <color rgb="FF000000"/>
        <rFont val="Arial"/>
        <family val="2"/>
      </rPr>
      <t xml:space="preserve">City/Town Data:
</t>
    </r>
    <r>
      <rPr>
        <sz val="10"/>
        <color rgb="FF000000"/>
        <rFont val="Arial"/>
        <family val="2"/>
      </rPr>
      <t>Use the hyperlink to the right to access the Massachusetts Department of Economic Research Employment and Wages Data.
1) Select "City or Town" for Area Type
2) Select your city or town for Specific Geographic Area
3) Select appropriate inventory year for Year
4) Select "Annual Report" for Time Period
5) Select "All ownership types" for Ownership
6) Select "Manufacturing" for Industry or Industry Sector
7) Select "Category Only"
8) Select "View and Print the Data" or download the CSV file and input the average of the monthly values</t>
    </r>
  </si>
  <si>
    <r>
      <rPr>
        <b/>
        <u/>
        <sz val="10"/>
        <rFont val="Arial"/>
        <family val="2"/>
      </rPr>
      <t>Mandatory Question Instructions Part 3: Square Feet of Developed Open Space</t>
    </r>
    <r>
      <rPr>
        <sz val="10"/>
        <rFont val="Arial"/>
        <family val="2"/>
      </rPr>
      <t xml:space="preserve">
Use the hyperlink to the right to access estimated landscaped area square footage data on MAPC's DataCommon. 
1) Click the "CSV" button in the top right of the display to download the data, or simply view in the browser.
2) Navigate to the appropriate row of data for your municipality. Enter the values for developed open space at the county and municipal level.
</t>
    </r>
    <r>
      <rPr>
        <i/>
        <sz val="10"/>
        <rFont val="Arial"/>
        <family val="2"/>
      </rPr>
      <t>Note: This data is from the National Land Cover Database, which is only updated every 2-3 years. As of when this tool was published, the most recent year available was 2021.</t>
    </r>
  </si>
  <si>
    <t>MAPC DataCommon - Estimated Landscaped Area</t>
  </si>
  <si>
    <r>
      <rPr>
        <b/>
        <u/>
        <sz val="10"/>
        <rFont val="Arial"/>
        <family val="2"/>
      </rPr>
      <t>Mandatory Question Instructions Part 4: Square Feet of Commercial Development Under Construction</t>
    </r>
    <r>
      <rPr>
        <sz val="10"/>
        <rFont val="Arial"/>
        <family val="2"/>
      </rPr>
      <t xml:space="preserve">
1) MAPC can provide this data from the commercial real estate database, CoStar. To request this data from MAPC, send an email to MAPC's Analytical Services Manager (listed on the Data Services webpage at the link to the right) and to MAPC's Clean Energy Team at CleanEnergy@mapc.org.
2) Enter the values for Square Feet of Commercial Development Under Construction for your county and city/town.</t>
    </r>
  </si>
  <si>
    <t>MAPC Data Services</t>
  </si>
  <si>
    <t>Total &amp; Manufacturing Employment</t>
  </si>
  <si>
    <t>Employment Description</t>
  </si>
  <si>
    <t>County Data</t>
  </si>
  <si>
    <t>City/Town Data</t>
  </si>
  <si>
    <t>Total Employment</t>
  </si>
  <si>
    <t>Manufacturing Employment</t>
  </si>
  <si>
    <t>Square Feet of Developed Open Space</t>
  </si>
  <si>
    <t>Square Feet of Commercial Development Under Construction</t>
  </si>
  <si>
    <r>
      <rPr>
        <b/>
        <u/>
        <sz val="10"/>
        <rFont val="Arial"/>
        <family val="2"/>
      </rPr>
      <t xml:space="preserve">Mandatory Question Instructions:
</t>
    </r>
    <r>
      <rPr>
        <sz val="10"/>
        <rFont val="Arial"/>
        <family val="2"/>
      </rPr>
      <t xml:space="preserve">Use the hyperlink to the right to access the MOVES emissions data on MAPC's DataCommon. 
1) Select the applicable year (available years are 2017, 2021, and 2022)
2) Click the "CSV" button in the top right of the display to download the data, or simply view in the browser.
3) Navigate to the appropriate rows of data for your county. Enter the CO2 and CH4 emissions for your county below.
</t>
    </r>
  </si>
  <si>
    <t>MAPC DataCommon - MOVES Off-Road Estimates</t>
  </si>
  <si>
    <t xml:space="preserve">County Off-Road Transportation Emissions </t>
  </si>
  <si>
    <t>County in which your community located:</t>
  </si>
  <si>
    <t>Barnstable</t>
  </si>
  <si>
    <t>Emissions Source</t>
  </si>
  <si>
    <t>CO2 Emissions (lbs)</t>
  </si>
  <si>
    <t>CH4 Emissions (lbs)</t>
  </si>
  <si>
    <t>Industrial</t>
  </si>
  <si>
    <t>Lawn / Garden</t>
  </si>
  <si>
    <t xml:space="preserve">Commercial </t>
  </si>
  <si>
    <t>Construction</t>
  </si>
  <si>
    <r>
      <rPr>
        <b/>
        <u/>
        <sz val="10"/>
        <rFont val="Arial"/>
        <family val="2"/>
      </rPr>
      <t>Mandatory Question Instructions:</t>
    </r>
    <r>
      <rPr>
        <sz val="10"/>
        <rFont val="Arial"/>
        <family val="2"/>
      </rPr>
      <t xml:space="preserve"> 
Use the hyperlink to the right to access the Massachusetts Vehicle Census emissions data on MAPC's DataCommon. 
1) Select the applicable year (available years are 2020, 2021, and 2022).
2) Click the "CSV" button in the top right of the display to download the data, or simply view in the browser.
3) Filter the data for your municipality and the appropriate vehicle use type (Passenger / Commercial / Municipal). Enter the Annual Vehicle Miles Traveled (VMT) and Annual Fuel Consumption (gal) for each vehicle fuel type.
</t>
    </r>
    <r>
      <rPr>
        <i/>
        <sz val="10"/>
        <rFont val="Arial"/>
        <family val="2"/>
      </rPr>
      <t>Note: The previous version of this tool did not include the following vehicle fuel types: Compressed Natural Gas, Propane, Hydrogen Fuel Cell, and Other. These vehicles are included in this tool to align with the data reported in the MA Vehicle Census. The annual fuel consumptions for these vehicle fuel types are reported as gallons of gasoline equivalents.</t>
    </r>
  </si>
  <si>
    <t>MAPC DataCommon - MA Vehicle Census Summary Statistics</t>
  </si>
  <si>
    <t>Private On-road Passenger Vehicles: VMT and Fuel Consumption Data</t>
  </si>
  <si>
    <t>Vehicle Fuel</t>
  </si>
  <si>
    <t>Annual Vehicle Miles Traveled (VMT)</t>
  </si>
  <si>
    <t>Annual Fuel Consumption (gal)</t>
  </si>
  <si>
    <t>Passenger Vehicles</t>
  </si>
  <si>
    <t xml:space="preserve">   Gasoline</t>
  </si>
  <si>
    <t xml:space="preserve">   Diesel</t>
  </si>
  <si>
    <t xml:space="preserve">   FlexFuel</t>
  </si>
  <si>
    <t xml:space="preserve">   Hybrid Electric Vehicle</t>
  </si>
  <si>
    <t xml:space="preserve">   Plug-in Hybrid Electric Vehicle</t>
  </si>
  <si>
    <t xml:space="preserve">   Compressed Natural Gas</t>
  </si>
  <si>
    <t xml:space="preserve">   Propane</t>
  </si>
  <si>
    <t xml:space="preserve">   Hydrogen Fuel Cell</t>
  </si>
  <si>
    <t xml:space="preserve">   Other</t>
  </si>
  <si>
    <t xml:space="preserve">   Electric</t>
  </si>
  <si>
    <t>Private On-road Commercial Vehicles: VMT and Fuel Consumption Data</t>
  </si>
  <si>
    <t>Commercial Vehicles</t>
  </si>
  <si>
    <t>Municipal On-road Vehicles: VMT and Fuel Consumption Data</t>
  </si>
  <si>
    <t>Municipal Vehicles</t>
  </si>
  <si>
    <t>Note: The previous version of the tool instructed users to source Municipal Vehicle data from MassEnergyInsights because the previous version of the MA Vehicle Census did not separate municipal vehicles from commercial vehicles. The updated MA Vehicle Census data identifies municipal vehicles separately, so users no longer need to access MassEnergyInsights for municipal vehicle data.</t>
  </si>
  <si>
    <t>State On-road Vehicles: VMT and Fuel Consumption Data</t>
  </si>
  <si>
    <t>State Vehicles</t>
  </si>
  <si>
    <t>Note: The previous version of the tool did not include State vehicles because the previous version of the MA Vehicle Census did not separate State vehicles from commercial vehicles. The updated MA Vehicle Census data identifies State vehicles separately, so they are now included here.</t>
  </si>
  <si>
    <r>
      <rPr>
        <b/>
        <u/>
        <sz val="10"/>
        <rFont val="Arial"/>
        <family val="2"/>
      </rPr>
      <t>Mandatory Question Instructions:</t>
    </r>
    <r>
      <rPr>
        <sz val="10"/>
        <rFont val="Arial"/>
        <family val="2"/>
      </rPr>
      <t xml:space="preserve"> 
Use the hyperlink to the right to access MBTA Route Distance data on MAPC's DataCommon. 
1) Select the applicable year (available years are 2017, 2021, and 2022).
2) Click the "CSV" button in the top right of the display to download the data, or simply view in the browser.
3) Navigate to the appropriate row of data for your municipality. Enter the values called for below for each On-Road Public Transit Type serving your municipality.</t>
    </r>
  </si>
  <si>
    <t>MAPC DataCommon - MBTA Frequency Weighted Trip Miles (Municipal)</t>
  </si>
  <si>
    <t>MBTA Public Transportation City/Town Frequency-weighted Route Distance</t>
  </si>
  <si>
    <t>Public Transit Type</t>
  </si>
  <si>
    <t>City/Town Frequency-weighted Route Distance (miles/year)</t>
  </si>
  <si>
    <t>MBTA Silver Line</t>
  </si>
  <si>
    <t>Trackless Trolley</t>
  </si>
  <si>
    <t>All MBTA Bus (Excluding Silver Line)</t>
  </si>
  <si>
    <t>Blue Line (Heavy Rail)</t>
  </si>
  <si>
    <t>Orange Line (Heavy Rail)</t>
  </si>
  <si>
    <t>Red Line (Heavy Rail)</t>
  </si>
  <si>
    <t>Green Line (Light Rail)</t>
  </si>
  <si>
    <t>Mattapan Trolley</t>
  </si>
  <si>
    <t>Commuter Rail</t>
  </si>
  <si>
    <r>
      <t xml:space="preserve">Do you know what percent of waste collected in your community (excluding separated organics) is sent to landfill vs. incineration? </t>
    </r>
    <r>
      <rPr>
        <i/>
        <sz val="10"/>
        <rFont val="Arial"/>
        <family val="2"/>
      </rPr>
      <t>(Use drop down menu to select)</t>
    </r>
  </si>
  <si>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answered </t>
    </r>
    <r>
      <rPr>
        <b/>
        <u/>
        <sz val="10"/>
        <rFont val="Arial"/>
        <family val="2"/>
      </rPr>
      <t>"Yes"</t>
    </r>
    <r>
      <rPr>
        <sz val="10"/>
        <rFont val="Arial"/>
        <family val="2"/>
      </rPr>
      <t xml:space="preserve"> to previous question, complete below table.
2) </t>
    </r>
    <r>
      <rPr>
        <b/>
        <sz val="10"/>
        <rFont val="Arial"/>
        <family val="2"/>
      </rPr>
      <t xml:space="preserve">If you answered </t>
    </r>
    <r>
      <rPr>
        <b/>
        <u/>
        <sz val="10"/>
        <rFont val="Arial"/>
        <family val="2"/>
      </rPr>
      <t>"No"</t>
    </r>
    <r>
      <rPr>
        <sz val="10"/>
        <rFont val="Arial"/>
        <family val="2"/>
      </rPr>
      <t xml:space="preserve"> to the previous question, skip below table. 
</t>
    </r>
  </si>
  <si>
    <t>City-Specific Disposed Waste Destination</t>
  </si>
  <si>
    <t>Final Destination of Collected Waste Material</t>
  </si>
  <si>
    <t>Percent of Waste</t>
  </si>
  <si>
    <t>Landfill</t>
  </si>
  <si>
    <t>Incineration</t>
  </si>
  <si>
    <r>
      <t xml:space="preserve">If your community has curbside organics collection, do you know what percent of collected organic material is sent to a compositing facility vs. an anaerobic digestion facility? </t>
    </r>
    <r>
      <rPr>
        <i/>
        <sz val="10"/>
        <rFont val="Arial"/>
        <family val="2"/>
      </rPr>
      <t>(Use drop down menu to select)</t>
    </r>
  </si>
  <si>
    <t>N/A - We don't have curbside composting</t>
  </si>
  <si>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answered </t>
    </r>
    <r>
      <rPr>
        <b/>
        <u/>
        <sz val="10"/>
        <rFont val="Arial"/>
        <family val="2"/>
      </rPr>
      <t>"Yes"</t>
    </r>
    <r>
      <rPr>
        <b/>
        <sz val="10"/>
        <rFont val="Arial"/>
        <family val="2"/>
      </rPr>
      <t xml:space="preserve"> </t>
    </r>
    <r>
      <rPr>
        <sz val="10"/>
        <rFont val="Arial"/>
        <family val="2"/>
      </rPr>
      <t xml:space="preserve">to previous question, complete below table.
2) </t>
    </r>
    <r>
      <rPr>
        <b/>
        <sz val="10"/>
        <rFont val="Arial"/>
        <family val="2"/>
      </rPr>
      <t xml:space="preserve">If you answered </t>
    </r>
    <r>
      <rPr>
        <b/>
        <u/>
        <sz val="10"/>
        <rFont val="Arial"/>
        <family val="2"/>
      </rPr>
      <t>"No" or "N/A"</t>
    </r>
    <r>
      <rPr>
        <sz val="10"/>
        <rFont val="Arial"/>
        <family val="2"/>
      </rPr>
      <t xml:space="preserve"> to the previous question, skip below table. 
</t>
    </r>
  </si>
  <si>
    <t>City-Specific Organic Recycling Destination</t>
  </si>
  <si>
    <t>Final Destination of Collected Organic Material</t>
  </si>
  <si>
    <t>Composting Facility</t>
  </si>
  <si>
    <t>Anaerobic Digestion Facility</t>
  </si>
  <si>
    <r>
      <t>Has your community completed a waste characterization study that you would prefer to use in this inventory instead of the default State waste characterization study?</t>
    </r>
    <r>
      <rPr>
        <i/>
        <sz val="10"/>
        <rFont val="Arial"/>
        <family val="2"/>
      </rPr>
      <t xml:space="preserve"> (Use drop down menu to select)</t>
    </r>
  </si>
  <si>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answered </t>
    </r>
    <r>
      <rPr>
        <b/>
        <u/>
        <sz val="10"/>
        <rFont val="Arial"/>
        <family val="2"/>
      </rPr>
      <t>"Yes"</t>
    </r>
    <r>
      <rPr>
        <sz val="10"/>
        <rFont val="Arial"/>
        <family val="2"/>
      </rPr>
      <t xml:space="preserve"> to previous question, complete below table. If your community has a waste characterization study, the categories in your community's waste characterization study may not "map" exactly to the waste categories used by the GPC. For example, instead of "garden waste and plant debris," your community's waste characterization study may have categories such as "branches and stumps" and "prunings, trimmings, leaves and grass". In the below table, include the sum of all categories in your community's inventory (e.g. "branches and stumps" and "prunings, trimmings, leaves and grass") that you think appropriately "map" to the GPC waste category (e.g. "garden waste and plant debris"). 
2) </t>
    </r>
    <r>
      <rPr>
        <b/>
        <sz val="10"/>
        <rFont val="Arial"/>
        <family val="2"/>
      </rPr>
      <t xml:space="preserve">If you answered </t>
    </r>
    <r>
      <rPr>
        <b/>
        <u/>
        <sz val="10"/>
        <rFont val="Arial"/>
        <family val="2"/>
      </rPr>
      <t>"No"</t>
    </r>
    <r>
      <rPr>
        <sz val="10"/>
        <rFont val="Arial"/>
        <family val="2"/>
      </rPr>
      <t xml:space="preserve"> to the previous question, skip below table. 
</t>
    </r>
  </si>
  <si>
    <t>City-Specific Waste Characterization</t>
  </si>
  <si>
    <t>GPC Waste Category</t>
  </si>
  <si>
    <t>Percent of Total Disposed Waste in Category</t>
  </si>
  <si>
    <t>Food</t>
  </si>
  <si>
    <t>Garden Waste and Plant Debris</t>
  </si>
  <si>
    <t>Paper</t>
  </si>
  <si>
    <t>Wood</t>
  </si>
  <si>
    <t>Textiles</t>
  </si>
  <si>
    <t>Industrial Waste</t>
  </si>
  <si>
    <r>
      <rPr>
        <b/>
        <u/>
        <sz val="10"/>
        <rFont val="Arial"/>
        <family val="2"/>
      </rPr>
      <t>Mandatory Question Instructions:</t>
    </r>
    <r>
      <rPr>
        <sz val="10"/>
        <rFont val="Arial"/>
        <family val="2"/>
      </rPr>
      <t xml:space="preserve"> 
1) Use the hyperlink to the right to access MassDEP's Municipal Solid Waste &amp; Recycling Data. Download the Municipal Solid Waste &amp; Recylcing Survey Responses for the inventory year. Navigate to the appropriate row of data for your municipality. Enter the Trash Disposal Tonnage into the "Mass of Solid Waste Disposed by Landfill and Incineration - Short Tons" cell in the below table. 
</t>
    </r>
    <r>
      <rPr>
        <i/>
        <sz val="10"/>
        <rFont val="Arial"/>
        <family val="2"/>
      </rPr>
      <t>If data for your municipality is not reported, obtain the tonnage of municipally collected waste from the appropriate municipal staff and input it in the table below.</t>
    </r>
    <r>
      <rPr>
        <sz val="10"/>
        <rFont val="Arial"/>
        <family val="2"/>
      </rPr>
      <t xml:space="preserve">
2) If your community has municipally-collected organics recycling, determine the mass of organic recycling collected by the municipal waste hauler. Enter the data into the "Mass of Solid Waste Disposed by Composting and Anaerobic Digestion - Short Tons" cell in the below table. </t>
    </r>
  </si>
  <si>
    <t>MassDEP Municipal Solid Waste &amp; Recycling Data</t>
  </si>
  <si>
    <t>Tonnage of Solid Waste Collected: Municipal Haulers</t>
  </si>
  <si>
    <t>Waste Collection Type</t>
  </si>
  <si>
    <t>Mass of Solid Waste Disposed by Landfill and Incineration - Short Tons</t>
  </si>
  <si>
    <t>Mass of Solid Waste Disposed by Composting and Anaerobic Digestion - Short Tons</t>
  </si>
  <si>
    <t>Municipally Collected</t>
  </si>
  <si>
    <r>
      <t xml:space="preserve">Do you know the mass of solid waste collected by private haulers? </t>
    </r>
    <r>
      <rPr>
        <i/>
        <sz val="10"/>
        <rFont val="Arial"/>
        <family val="2"/>
      </rPr>
      <t>(Use drop down menu to select)</t>
    </r>
    <r>
      <rPr>
        <sz val="10"/>
        <rFont val="Arial"/>
        <family val="2"/>
      </rPr>
      <t xml:space="preserve"> </t>
    </r>
  </si>
  <si>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answered </t>
    </r>
    <r>
      <rPr>
        <b/>
        <u/>
        <sz val="10"/>
        <rFont val="Arial"/>
        <family val="2"/>
      </rPr>
      <t>"Yes"</t>
    </r>
    <r>
      <rPr>
        <b/>
        <sz val="10"/>
        <rFont val="Arial"/>
        <family val="2"/>
      </rPr>
      <t xml:space="preserve"> </t>
    </r>
    <r>
      <rPr>
        <sz val="10"/>
        <rFont val="Arial"/>
        <family val="2"/>
      </rPr>
      <t xml:space="preserve">to previous question, complete the table below by entering the mass of waste collected by private haulers. 
2) </t>
    </r>
    <r>
      <rPr>
        <b/>
        <sz val="10"/>
        <rFont val="Arial"/>
        <family val="2"/>
      </rPr>
      <t xml:space="preserve">If you answered </t>
    </r>
    <r>
      <rPr>
        <b/>
        <u/>
        <sz val="10"/>
        <rFont val="Arial"/>
        <family val="2"/>
      </rPr>
      <t xml:space="preserve">"No" </t>
    </r>
    <r>
      <rPr>
        <sz val="10"/>
        <rFont val="Arial"/>
        <family val="2"/>
      </rPr>
      <t xml:space="preserve">to the previous question, skip below table. 
</t>
    </r>
  </si>
  <si>
    <t>Tonnage of Solid Waste Collected: Private Haulers</t>
  </si>
  <si>
    <t>Private Hauler Collected</t>
  </si>
  <si>
    <r>
      <rPr>
        <b/>
        <u/>
        <sz val="10"/>
        <rFont val="Arial"/>
        <family val="2"/>
      </rPr>
      <t>Mandatory Question Instructions:</t>
    </r>
    <r>
      <rPr>
        <sz val="10"/>
        <rFont val="Arial"/>
        <family val="2"/>
      </rPr>
      <t xml:space="preserve"> 
Use the hyperlink to the right to access MassDEP's Municipal Solid Waste &amp; Recycling Data
1) Download the Municipal Solid Waste &amp; Recylcing Survey Responses for the inventory year.
2) Navigate to the appropriate row of data for your municipality. Enter the total number of households and the number of households served by the municipal trash program in the table below.</t>
    </r>
  </si>
  <si>
    <t>Households Served by Municipal Trash Program</t>
  </si>
  <si>
    <t>Total Number of Households</t>
  </si>
  <si>
    <r>
      <t xml:space="preserve">Do you know which landfill your community's waste is sent to? </t>
    </r>
    <r>
      <rPr>
        <i/>
        <sz val="10"/>
        <rFont val="Arial"/>
        <family val="2"/>
      </rPr>
      <t>(Use drop down menu to select)</t>
    </r>
    <r>
      <rPr>
        <sz val="10"/>
        <rFont val="Arial"/>
        <family val="2"/>
      </rPr>
      <t xml:space="preserve"> </t>
    </r>
  </si>
  <si>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answered </t>
    </r>
    <r>
      <rPr>
        <b/>
        <u/>
        <sz val="10"/>
        <rFont val="Arial"/>
        <family val="2"/>
      </rPr>
      <t>"Yes"</t>
    </r>
    <r>
      <rPr>
        <b/>
        <sz val="10"/>
        <rFont val="Arial"/>
        <family val="2"/>
      </rPr>
      <t xml:space="preserve"> </t>
    </r>
    <r>
      <rPr>
        <sz val="10"/>
        <rFont val="Arial"/>
        <family val="2"/>
      </rPr>
      <t xml:space="preserve">to previous question, select the landfill from the list below.
2) </t>
    </r>
    <r>
      <rPr>
        <b/>
        <sz val="10"/>
        <rFont val="Arial"/>
        <family val="2"/>
      </rPr>
      <t xml:space="preserve">If you answered </t>
    </r>
    <r>
      <rPr>
        <b/>
        <u/>
        <sz val="10"/>
        <rFont val="Arial"/>
        <family val="2"/>
      </rPr>
      <t>"No" or "N/A"</t>
    </r>
    <r>
      <rPr>
        <sz val="10"/>
        <rFont val="Arial"/>
        <family val="2"/>
      </rPr>
      <t xml:space="preserve"> to the previous question, skip below table. 
</t>
    </r>
  </si>
  <si>
    <t>Landfill Waste Destination</t>
  </si>
  <si>
    <r>
      <rPr>
        <sz val="10"/>
        <color rgb="FF000000"/>
        <rFont val="Arial"/>
      </rPr>
      <t xml:space="preserve">Which landfill does your community send waste to? </t>
    </r>
    <r>
      <rPr>
        <i/>
        <sz val="10"/>
        <color rgb="FF000000"/>
        <rFont val="Arial"/>
      </rPr>
      <t>(Use drop down menu to select)</t>
    </r>
  </si>
  <si>
    <t>None of these landfills</t>
  </si>
  <si>
    <t>Wastewater Treatment: Wastewater Treatment Plant (WWTP)</t>
  </si>
  <si>
    <r>
      <t xml:space="preserve">Which wastewater treatment plant does your community send wastewater to? </t>
    </r>
    <r>
      <rPr>
        <i/>
        <sz val="10"/>
        <rFont val="Arial"/>
        <family val="2"/>
      </rPr>
      <t>(Use drop down menu to select)</t>
    </r>
  </si>
  <si>
    <t>Deer Island WWTP</t>
  </si>
  <si>
    <t>If you selected a specific WWTP above, what is the estimated percent of your total community's population served by this WWTP?</t>
  </si>
  <si>
    <t>Note: the percent of your total community's population on septic systems is calculated as 100% minus the percent of the population served by a WWTP.</t>
  </si>
  <si>
    <t>Population Data</t>
  </si>
  <si>
    <r>
      <rPr>
        <b/>
        <u/>
        <sz val="10"/>
        <rFont val="Arial"/>
        <family val="2"/>
      </rPr>
      <t>Mandatory Question Instructions:</t>
    </r>
    <r>
      <rPr>
        <sz val="10"/>
        <rFont val="Arial"/>
        <family val="2"/>
      </rPr>
      <t xml:space="preserve"> 
Community population estimates from the U.S. Census can be accessed through MAPC's DataCommon. Select the appropriate year for your inventory and navigate to the rows for your municipality and the Massachusetts total to find population values.</t>
    </r>
  </si>
  <si>
    <t>MAPC DataCommon - US Census Population Estimates</t>
  </si>
  <si>
    <t xml:space="preserve">What is the population of your community? </t>
  </si>
  <si>
    <t>What is the population of Massachusetts</t>
  </si>
  <si>
    <t>Adjusting the Inventory Year</t>
  </si>
  <si>
    <t>This version of MAPC's tool is auto populated to support the completion of an inventory for the year 2022. If your community would like to complete an inventory for an alternate year, the following additional inputs will need to be updated to datasets from the appropriate year. See Appendix C of MAPC's Step-by-Step Guide for additional guidance.
Please note that, at the time of publishing this Tool, 2022 was the most recent year where the necessary data was widely available. Data availability from the sources listed below may vary depending on the alternate inventory year you have selected.</t>
  </si>
  <si>
    <t>Update Emissions Factors</t>
  </si>
  <si>
    <r>
      <rPr>
        <b/>
        <u/>
        <sz val="10"/>
        <rFont val="Arial"/>
        <family val="2"/>
      </rPr>
      <t>Instructions:</t>
    </r>
    <r>
      <rPr>
        <sz val="10"/>
        <rFont val="Arial"/>
        <family val="2"/>
      </rPr>
      <t xml:space="preserve"> 
Depending on the inventory year selected, new or revised emissions factors may be available for combusted fuels like natural gas and fuel oil. Emissions factors can be sourced from US EPA. </t>
    </r>
  </si>
  <si>
    <t>EPA Emissions Factors</t>
  </si>
  <si>
    <t>Inputs for Emissions Factors - Table 1</t>
  </si>
  <si>
    <t>Fuel Type</t>
  </si>
  <si>
    <t>kg CO2/MMBTU</t>
  </si>
  <si>
    <t>MT CO2/MMBTU</t>
  </si>
  <si>
    <t>MT CH4/MMBTU</t>
  </si>
  <si>
    <t>MT N2O/MMBTU</t>
  </si>
  <si>
    <t>Natural Gas</t>
  </si>
  <si>
    <t xml:space="preserve">Distillate Fuel Oil No. 2. </t>
  </si>
  <si>
    <r>
      <rPr>
        <b/>
        <u/>
        <sz val="10"/>
        <rFont val="Arial"/>
        <family val="2"/>
      </rPr>
      <t>Instructions:</t>
    </r>
    <r>
      <rPr>
        <sz val="10"/>
        <rFont val="Arial"/>
        <family val="2"/>
      </rPr>
      <t xml:space="preserve"> 
In order to update the electricity emissions factors calculations, go to the MassDEP link provided and access the Massachusetts GHG Emissions Report for Retail Sellers of Electricity for the inventory year. 
1) Download the report and navigate to "Table 2: GHG Emission Factors for Electricity Consumed in Massachusetts, prior to and after accounting for Unit-Specific Generation (lb CO2e/MWh)" and input the value for the Massachusetts-based approach, non-biogenic, after accounting for unit-specific generation in lbs CO2e/MWh.
2) Within Appendix 3, you will also need to input the values from "Table 12: Electricity Consumers Retail-Level Massachusetts-based GHG Emissions Factors by Individual Gas" for lbs/retail MWh for CO2, CH4, and N2O.</t>
    </r>
  </si>
  <si>
    <t>MassDEP Reported Emissions Factors</t>
  </si>
  <si>
    <t>Inputs for Emissions Factors - Table 3</t>
  </si>
  <si>
    <t>Greenhouse Gas</t>
  </si>
  <si>
    <t xml:space="preserve"> Combined Retail Level Electricity Emission Factor (lbs CO2e/MWh)</t>
  </si>
  <si>
    <t>Non-Biogenic Retail Level Electricity Emission Factor (lbs CO2e/MWh)</t>
  </si>
  <si>
    <t>CO2</t>
  </si>
  <si>
    <t>CH4</t>
  </si>
  <si>
    <t>N2O</t>
  </si>
  <si>
    <t>CO2e</t>
  </si>
  <si>
    <r>
      <rPr>
        <b/>
        <u/>
        <sz val="10"/>
        <rFont val="Arial"/>
        <family val="2"/>
      </rPr>
      <t>Instructions:</t>
    </r>
    <r>
      <rPr>
        <sz val="10"/>
        <rFont val="Arial"/>
        <family val="2"/>
      </rPr>
      <t xml:space="preserve"> 
In order to update the electricity emissions factors calculations, go to the MassDEP link provided and access the Massachusetts GHG Emissions Report for Retail Sellers of Electricity for the inventory year. 
1) For Eversource, NGRID, and Unitil: Navigate to Appendix 2B, "Table 9: Individual Electric Utility and Competitive Supplier Percent of Sales Claimed as Unit-Specific Generation". For each Utility, input the value of the MWh claimed as unit-specific generation, non-emitting divided by the MWh reported as retail sales.
2) For Municipal Light Plants: Navigate to Appendix 2 and input the values from "Table 7. Individual MED Percent of Sales Claimed as Unit-Specific Generation" for the % of sales claimed as unit-specific generation for each Electric Utility and Municipal Electric Department listed below. </t>
    </r>
    <r>
      <rPr>
        <i/>
        <sz val="10"/>
        <rFont val="Arial"/>
        <family val="2"/>
      </rPr>
      <t>Note: If the MWH claimed as unit-specific generation, emitting is non-zero, subtract the emitting MWh from the non-emitting MWH and divide by the MWh resported as retail sales to get the % of sales claimed as non-emitting MWh.</t>
    </r>
  </si>
  <si>
    <t>Inputs for Emissions Factors - Table 6 and Table 9</t>
  </si>
  <si>
    <t>Investor-owned Utility / Municipal Utility</t>
  </si>
  <si>
    <t>% Of Sales Reported to MA DEP as "Non-emitting MWh"</t>
  </si>
  <si>
    <t>Unitil</t>
  </si>
  <si>
    <t>Ashburnham Muni. Light Dept.</t>
  </si>
  <si>
    <t>Belmont Municipal Light Department</t>
  </si>
  <si>
    <t>Boylston Municipal Light Dept.</t>
  </si>
  <si>
    <t>Braintree Electric Light Dept.</t>
  </si>
  <si>
    <t>Chester Municipal Electric Light Dept.</t>
  </si>
  <si>
    <t>Chicopee Electric Light Dept.</t>
  </si>
  <si>
    <t>Concord Municipal Light Plant</t>
  </si>
  <si>
    <t>Danvers Electric Division</t>
  </si>
  <si>
    <t>Georgetown Municipal Light Department</t>
  </si>
  <si>
    <t>Groton Electric Light Dept.</t>
  </si>
  <si>
    <t>Groveland Municipal Light Dept.</t>
  </si>
  <si>
    <t>Hingham Municipal Lighting Plant</t>
  </si>
  <si>
    <t>Holden Municipal Light Dept.</t>
  </si>
  <si>
    <t>Holyoke Gas &amp; Electric Dept.</t>
  </si>
  <si>
    <t>Hudson Light &amp; Power Dept.</t>
  </si>
  <si>
    <t>Hull Municipal Lighting Plant</t>
  </si>
  <si>
    <t>Ipswich Municipal Light Department</t>
  </si>
  <si>
    <t>Littleton Electric Light &amp; Water</t>
  </si>
  <si>
    <t>Mansfield Municipal Electric Dept.</t>
  </si>
  <si>
    <t>Marblehead Municipal Light Dept.</t>
  </si>
  <si>
    <t>Merrimac Municipal Light &amp; Water Dept.</t>
  </si>
  <si>
    <t>Middleborough Gas &amp; Electric Dept.</t>
  </si>
  <si>
    <t>Middleton Municipal Electric Dept.</t>
  </si>
  <si>
    <t>North Attleboro Electric Dept.</t>
  </si>
  <si>
    <t>Norwood Municipal Light Dept.</t>
  </si>
  <si>
    <t>Paxton Municipal Light Dept.</t>
  </si>
  <si>
    <t>Peabody Municipal Light Plant</t>
  </si>
  <si>
    <t>Princeton Municipal Light Dept.</t>
  </si>
  <si>
    <t>Reading Municipal Light Dept.</t>
  </si>
  <si>
    <t>Rowley Municipal Lighting Plant</t>
  </si>
  <si>
    <t>Russell Municipal Light Department</t>
  </si>
  <si>
    <t>Shrewsbury Electric &amp; Cable Ops.</t>
  </si>
  <si>
    <t>South Hadley Electric Light Dept.</t>
  </si>
  <si>
    <t>Sterling Municipal Light Dept.</t>
  </si>
  <si>
    <t>Taunton Municipal Lighting Plant</t>
  </si>
  <si>
    <t>Templeton Municipal Light &amp; Water</t>
  </si>
  <si>
    <t>Wakefield Municipal Gas &amp; Light Dept.</t>
  </si>
  <si>
    <t>Wellesley Municipal Light Plant</t>
  </si>
  <si>
    <t>West Boylston Municipal Lighting Plant</t>
  </si>
  <si>
    <t>Westfield Gas &amp; Electric</t>
  </si>
  <si>
    <r>
      <rPr>
        <b/>
        <u/>
        <sz val="10"/>
        <rFont val="Arial"/>
        <family val="2"/>
      </rPr>
      <t>Instructions:</t>
    </r>
    <r>
      <rPr>
        <sz val="10"/>
        <rFont val="Arial"/>
        <family val="2"/>
      </rPr>
      <t xml:space="preserve"> 
If your community has a green municipal aggregation program (see Question 1C of the Guide), you will also need to update the minimum compliance percentage for Class I under the Massachusetts Renewable Portfolio Standard.
1) Use the link to the right to navigate to the Annual Compliance Information for Retail Electric Suppliers webpage.
2) Navigate to the RPS and APS Minimum Standards section and click the link to dowload the Minimum Standards through 2030
3) Input the Minimum Standard for RPS Class I (including Solar Carve-Outs) for the inventory year.</t>
    </r>
  </si>
  <si>
    <t>Massachusetts Renewable Portfolio Standard</t>
  </si>
  <si>
    <t>Inputs for Emissions Factors - Table 7</t>
  </si>
  <si>
    <t>Class I (with carve outs)</t>
  </si>
  <si>
    <t>RPS minimum compliance percentage</t>
  </si>
  <si>
    <r>
      <rPr>
        <b/>
        <u/>
        <sz val="10"/>
        <rFont val="Arial"/>
        <family val="2"/>
      </rPr>
      <t>Instructions:</t>
    </r>
    <r>
      <rPr>
        <sz val="10"/>
        <rFont val="Arial"/>
        <family val="2"/>
      </rPr>
      <t xml:space="preserve"> 
Occasionally, the numbers used to assess Global Warming Potential (GWP) will be updated or revised. This change can be due to updated scientific estimates of the energy absorption or lifetime of the gases or to changing atmospheric concentrations of GHGs that result in a change in the energy absorption of 1 additional ton of a gas relative to another. The Tool defaults to use the GWP values provided by the Intergovernmental Panel on Climate Change in the Sixth Assessment Report (2021). The GWP values for AR4, AR5, and AR6 are provided by the Greenhouse Gas Protocol in the link to the right. The Global Protocol recommends using the most recent GWP values available. 
</t>
    </r>
    <r>
      <rPr>
        <i/>
        <sz val="10"/>
        <rFont val="Arial"/>
        <family val="2"/>
      </rPr>
      <t>These inputs should only be adjusted if a more recent Assessment Report has been released by the IPCC with revised GWP values, or if this Tool is being used for a historic inventory requiring the use of older GWP values.</t>
    </r>
  </si>
  <si>
    <t>IPCC Global Warming Potential Values</t>
  </si>
  <si>
    <t>Inputs for Emissions Factors - Table 11</t>
  </si>
  <si>
    <t>Methane (CH4)</t>
  </si>
  <si>
    <t>Nitrous Oxide (N2O)</t>
  </si>
  <si>
    <r>
      <rPr>
        <b/>
        <u/>
        <sz val="10"/>
        <color rgb="FF000000"/>
        <rFont val="Arial"/>
      </rPr>
      <t>Instructions:</t>
    </r>
    <r>
      <rPr>
        <sz val="10"/>
        <color rgb="FF000000"/>
        <rFont val="Arial"/>
      </rPr>
      <t xml:space="preserve"> 
Depending on the inventory year selected, new or revised emissions factors may be available for vehicle fuels like diesel, gasoline, and compressed natural gas. To update emissions factors: 
1) Identify CO2 emissions factors (MT CO2/gallon) for Diesel, Gasoline, and Compressed Natural Gas from the EPA's GHG Emissions Factors Hub for the inventory year (Table 2 in the Excel or PDF files).
2) Identify CH4 and N2O emissions factors (MT CH4/gallon and MT N2O/gallon) from the Maine Department of Environmental Protection's Mobile Greenhouse Gas Emission Factors spreadsheet on the Conversion table (CH4) and Conversion table (N2O) tabs. (Note: as of the publication of this tool, the required emissions factors in the correct units were not identified in EPA or MA sources. When updating emissions factors, first try to identify federal or MA-specific data before resorting to the Maine DEP or alternative source)
</t>
    </r>
  </si>
  <si>
    <t>Maine DEP Vehicle Emissions and Greenhouse Gas Data</t>
  </si>
  <si>
    <t>Inputs for Emissions Factors - Table 12</t>
  </si>
  <si>
    <t>Units</t>
  </si>
  <si>
    <t>Diesel</t>
  </si>
  <si>
    <t>MT gas/gallon</t>
  </si>
  <si>
    <t>Gasoline</t>
  </si>
  <si>
    <t>Compressed Natural Gas</t>
  </si>
  <si>
    <t>kg CO2/SCF</t>
  </si>
  <si>
    <t>Update Stationary Energy Defaults</t>
  </si>
  <si>
    <r>
      <rPr>
        <b/>
        <u/>
        <sz val="10"/>
        <rFont val="Arial"/>
        <family val="2"/>
      </rPr>
      <t>Instructions:</t>
    </r>
    <r>
      <rPr>
        <sz val="10"/>
        <rFont val="Arial"/>
        <family val="2"/>
      </rPr>
      <t xml:space="preserve"> 
A Massachusetts-specific electricity transmission and distribution grid loss factor was calculated per U.S. Energy Information Administration instructions. To adjust your inventory year, you will need to collect the data below from U.S. EIA's electricity profile for Massachusetts using the link provided. 
1) Select your inventory year from the drop down menu located in the top right of the webpage. 
2) Scroll to the bottom of the page and click the link "Full data tables 1-17" 
3) Download the Excel spreadsheet to access all of the data tables for Massachusetts. 
4) Navigate in the spreadsheet to "Table 10: Supply and Disposition of Electricity" and input the values for the fields below associated with the inventory year.</t>
    </r>
  </si>
  <si>
    <t>US EIA MA Electricity Profile</t>
  </si>
  <si>
    <t>Inputs for Stationary Energy - Buildings - Table 7</t>
  </si>
  <si>
    <t>Total Disposition (MWh)</t>
  </si>
  <si>
    <t>Direct Use (MWh)</t>
  </si>
  <si>
    <t>Estimated Losses (MWh)</t>
  </si>
  <si>
    <t>Update Transportation Defaults</t>
  </si>
  <si>
    <r>
      <rPr>
        <b/>
        <u/>
        <sz val="10"/>
        <rFont val="Arial"/>
        <family val="2"/>
      </rPr>
      <t>Instructions:</t>
    </r>
    <r>
      <rPr>
        <sz val="10"/>
        <rFont val="Arial"/>
        <family val="2"/>
      </rPr>
      <t xml:space="preserve"> 
The fuel efficiency of electric vehicles is rapidly progressing from year to year. To increase the accuracy of your GHG inventory for alternate years, you will need to update the data supporting the average vehicle efficiency applied to electric vehicles in the Tool's calculations. 
1) Input the seven top selling electric vehicles (by make, model, and year) in Massachusetts. The top selling electric vehicles in Massachusetts can be estimated via data from the MOR-EV Program Statistics, which reports the number of EV rebates distributed by make, model, and model year. The MOR-EV data can be downloaded at the link to the right. To identify the top selling vehicles through the inventory year, filter the data to include rebate applications through the end of the inventory year. Combine the vehicle model and vehicle year and calculate the total number of rebate applications for each make, model, and year. Input the Make, Model, and Year for the top 7 most popular vehicles in the table below
2) Input the Vehicle Efficiency (in kWh/mile) for the top selling electric vehicles. The vehicle efficiency can be found on the FuelEconomy.gov website using the "Search by Make" tool. Select the Year and Make and scroll down to identify the correct model. Input the efficiency in kWh/mile and the full name of the vehicle from the fuelconomy.gov website.</t>
    </r>
  </si>
  <si>
    <t>MOR-EV Data</t>
  </si>
  <si>
    <t>FuelEconomy.gov Search by Make</t>
  </si>
  <si>
    <t>Inputs for Transportation - Onroad - Table 6</t>
  </si>
  <si>
    <t>Make</t>
  </si>
  <si>
    <t>Model</t>
  </si>
  <si>
    <t>Year</t>
  </si>
  <si>
    <t>Vehicle Efficiency (kWh/mile)</t>
  </si>
  <si>
    <t>Vehicle Year, Make, and Model from Fueleconomy.gov</t>
  </si>
  <si>
    <t>Tesla</t>
  </si>
  <si>
    <t>Model 3</t>
  </si>
  <si>
    <t>2021 Tesla Model 3 Standard Range Plus RWD</t>
  </si>
  <si>
    <t>Toyota</t>
  </si>
  <si>
    <t>Prius Prime</t>
  </si>
  <si>
    <t>2019 Toyota Prius Prime</t>
  </si>
  <si>
    <t>Chevrolet</t>
  </si>
  <si>
    <t>Bolt</t>
  </si>
  <si>
    <t>2019 Chevrolet Bolt EV</t>
  </si>
  <si>
    <t>Rav4 Prime</t>
  </si>
  <si>
    <t>2021 Toyota Rav4 Prime 4WD</t>
  </si>
  <si>
    <t>Volt</t>
  </si>
  <si>
    <t>2017 Chevrolet Volt</t>
  </si>
  <si>
    <t>Honda</t>
  </si>
  <si>
    <t>Clarity PHEV</t>
  </si>
  <si>
    <t>2018 Honda Clarify PHEV</t>
  </si>
  <si>
    <t>Model X</t>
  </si>
  <si>
    <t>2017 Tesla Model X AWD - 90D</t>
  </si>
  <si>
    <r>
      <rPr>
        <b/>
        <u/>
        <sz val="10"/>
        <rFont val="Arial"/>
        <family val="2"/>
      </rPr>
      <t>Mandatory Question Instructions:</t>
    </r>
    <r>
      <rPr>
        <sz val="10"/>
        <rFont val="Arial"/>
        <family val="2"/>
      </rPr>
      <t xml:space="preserve"> 
Use the hyperlink to the right to access MBTA Fuel Consumption and Route Distance data on MAPC's DataCommon. 
1) Select the applicable year (the years available are 2017, 2021, 2022).
2) Click the "CSV" button in the top right of the display to download the data, or simply view in the browser.
3) Enter the values called for below for each On-Road Public Transit Type.</t>
    </r>
  </si>
  <si>
    <t>MAPC DataCommon - MBTA Frequency Weighted Trip Miles (System-wide)</t>
  </si>
  <si>
    <t>Inputs for Transportation - Onroad - Table 7</t>
  </si>
  <si>
    <t>Line Annual Diesel Consumption (gallons/year)*</t>
  </si>
  <si>
    <t>Line Annual CNG Consumption (MMBTU/year)</t>
  </si>
  <si>
    <t>Line Annual Electricity Consumption (MWh/year)*</t>
  </si>
  <si>
    <r>
      <t>MBTA Frequency-weighted Vehicle Miles Traveled (miles/year)</t>
    </r>
    <r>
      <rPr>
        <b/>
        <sz val="12"/>
        <color theme="0"/>
        <rFont val="Arial"/>
        <family val="2"/>
      </rPr>
      <t>*</t>
    </r>
  </si>
  <si>
    <t>Update Waste Defaults</t>
  </si>
  <si>
    <r>
      <rPr>
        <b/>
        <u/>
        <sz val="10"/>
        <rFont val="Arial"/>
        <family val="2"/>
      </rPr>
      <t>Instructions:</t>
    </r>
    <r>
      <rPr>
        <sz val="10"/>
        <rFont val="Arial"/>
        <family val="2"/>
      </rPr>
      <t xml:space="preserve"> 
This Tool assumes default State-level percent of disposed waste sent to landfill and combusted unless local data is entered on the "Inputs" tab of this workbook. To adjust your inventory year, use the link provided to access MassDEP's Solid Waste Data update for the appropriate year. 
1) Navigate the report to "Table 2: Solid Waste Tonnage and Percent Change Summary". Input the mass of statewide waste reported in the inventory year by waste type and disposal method.</t>
    </r>
  </si>
  <si>
    <t>MassDEP Solid Waste Data Updates</t>
  </si>
  <si>
    <t>Inputs for Waste - Solid Waste - Table 3</t>
  </si>
  <si>
    <t>Waste Type</t>
  </si>
  <si>
    <t>Mass of Waste 
(short tons)</t>
  </si>
  <si>
    <t>Landfilled - Municipal Solid Waste (MSW)</t>
  </si>
  <si>
    <t>Landfilled - Construction &amp; Demolition Waste (C&amp;D)</t>
  </si>
  <si>
    <t>Landfilled - Other Waste</t>
  </si>
  <si>
    <t>Combusted - Municipal Solid Waste (MSW)</t>
  </si>
  <si>
    <t>Combused - Non-Municipal Solid Waste (MSW)</t>
  </si>
  <si>
    <t>Exported - Municipal Solid Waste (MSW)</t>
  </si>
  <si>
    <t>Exported - Non-Municipal Solid Waste</t>
  </si>
  <si>
    <r>
      <rPr>
        <b/>
        <u/>
        <sz val="10"/>
        <rFont val="Arial"/>
        <family val="2"/>
      </rPr>
      <t>Instructions:</t>
    </r>
    <r>
      <rPr>
        <sz val="10"/>
        <rFont val="Arial"/>
        <family val="2"/>
      </rPr>
      <t xml:space="preserve"> 
The wastewater emissions analysis follows the approach used by the Massachusetts Department of Environmental Protection (DEP) to estimate wastewater treatment emissions for wastewater treatment plants and septic systems. The analysis is available on the "Wastewater" tab of Appendix C: Massachusetts Annual Greenhouse Gas Emissions Inventory. 
To adjust inventory year, use the link provided to download the most recent version of Appendix C, navigate to the "Wastewater" tab, and input the following values:
1) Variables to calculate the CH4 emissions from Septic (cells C40-44 of the June 2024 version)
2) Variables to calculate the CH4 emissions from Non-MWRA WWTP (cells G40-44 of the June 2024 version)
3) Variable to calculate the N2O emissions from WWTP (cell K40 of the June 2024 version)
4) Variables to calculate the N20 Effluent emissions (first three values in cells K43-45 of the June 2024 version; Protein Consumption and Effluent Fraction are provided for each year in rows 35-36 of the June 2024 version)</t>
    </r>
  </si>
  <si>
    <t>MassDEP Annual GHG Inventory Report</t>
  </si>
  <si>
    <t>Inputs for Waste - Wastewater - Table 3</t>
  </si>
  <si>
    <t>Data Description</t>
  </si>
  <si>
    <t>Data</t>
  </si>
  <si>
    <t>Septic Biochemical Oxygen Demand (BOD) (kg/cap/day)</t>
  </si>
  <si>
    <t>Septic Maximum CH4 Producing Potential (Bo) (kg CH4/kg BOD)</t>
  </si>
  <si>
    <t>Septic Methane Correction Factor (MCF)</t>
  </si>
  <si>
    <t>Fraction of population managing their septic tank in compliance with the sludge removal instruction of their septic system (F)</t>
  </si>
  <si>
    <t>Inputs for Waste - Wastewater - Table 4</t>
  </si>
  <si>
    <t>WWTP Biochemical Oxygen Demand (BOD) (kg/cap/day)</t>
  </si>
  <si>
    <t>WWTP Maximum CH4 Producing Potential (Bo) (kg CH4/kg BOD)</t>
  </si>
  <si>
    <t>WWTP Methane Correction Factor (MCF)</t>
  </si>
  <si>
    <t>Inputs for Waste - Wastewater - Table 5</t>
  </si>
  <si>
    <t>WWTP N20 Process Emissions (g N2O / cap / year)</t>
  </si>
  <si>
    <t>Inputs for Waste - Wastewater - Table 6</t>
  </si>
  <si>
    <t>Effluent Fraction of nitrogen in protein (F_NPR) (kg N/kg protein)</t>
  </si>
  <si>
    <t>Effluent Factor for nitrogen in non-consumed protein disposed in sewer system (F_NonCon) (kg N/kg N)</t>
  </si>
  <si>
    <t>Effluent Emision factor for biosolids EF_biosolids (kg N2O-N/kg sewage-N produced)</t>
  </si>
  <si>
    <t>Annual Per Capita Protein Consumption (kg/person/year)</t>
  </si>
  <si>
    <t>Effluent Fraction for nitrogen in fertilizer (F_Fertilizer)</t>
  </si>
  <si>
    <t>All Emissions: Summary</t>
  </si>
  <si>
    <t>Sector:</t>
  </si>
  <si>
    <t>All Sectors</t>
  </si>
  <si>
    <t xml:space="preserve">Subsector/s: </t>
  </si>
  <si>
    <t>All Subsectors</t>
  </si>
  <si>
    <t>Summary of Methodology Used</t>
  </si>
  <si>
    <t xml:space="preserve">This worksheet provides an overall summary of emissions from the three main GPC sectors - Stationary Energy, Transportation, and Waste - based on the information calculated for the sector specific emissions summaries. This tool does not include emissions from the Industrial Process and Product Use (IPPU) and Agriculture, Forestry and Other Land Use (AFOLU) sectors due to lack of available data. Emissions are broken out by sector, subsector, source and scope. </t>
  </si>
  <si>
    <t>Table 1: Community-wide Emissions Summary by Sector &amp; Scope</t>
  </si>
  <si>
    <t xml:space="preserve"> Total Emissions (MT CO2e)</t>
  </si>
  <si>
    <t>Scope 1 Emissions (MT CO2e)</t>
  </si>
  <si>
    <t xml:space="preserve"> Scope 2 Emissions (MT CO2e)</t>
  </si>
  <si>
    <t xml:space="preserve"> Scope 3 Emissions (MT CO2e)</t>
  </si>
  <si>
    <t>Stationary Energy</t>
  </si>
  <si>
    <t>Transportation</t>
  </si>
  <si>
    <t>Waste</t>
  </si>
  <si>
    <t>All</t>
  </si>
  <si>
    <t>Table 2: Municipal Operations Emissions Summary</t>
  </si>
  <si>
    <t>Scope 1 Emissions (MT CO2e)*</t>
  </si>
  <si>
    <t xml:space="preserve"> Scope 2 Emissions (MT CO2e)**</t>
  </si>
  <si>
    <t xml:space="preserve"> Scope 3 Emissions (MT CO2e)***</t>
  </si>
  <si>
    <t>* Combustion of fuels (natural gas, fuel oil, gasolene or diesel) within the municipal boundary as well as fugitive emissions from natural gas distribution</t>
  </si>
  <si>
    <t>** Emissions from municipal electricity consumption</t>
  </si>
  <si>
    <t>*** Emissions from electricity transmission and distribution system losses</t>
  </si>
  <si>
    <t>Table 3: Community-wide Emissions Summary by Sector, Subsector, &amp; Scope</t>
  </si>
  <si>
    <t>Subsector</t>
  </si>
  <si>
    <t>Residential Buildings</t>
  </si>
  <si>
    <t>C&amp;I Buildings &amp; Manufacturing Industries</t>
  </si>
  <si>
    <t>On-road</t>
  </si>
  <si>
    <t>Railways (MBTA)</t>
  </si>
  <si>
    <t>Solid Waste Disposal</t>
  </si>
  <si>
    <t>Biological Treatment of Waste</t>
  </si>
  <si>
    <t>Incineration and Open Burning</t>
  </si>
  <si>
    <t>Wastewater Treatment and Discharge</t>
  </si>
  <si>
    <t>All Sectors &amp; Subsectors</t>
  </si>
  <si>
    <t>Table 4: Community-wide Emissions Summary by Sector, Subsector, Source &amp; Scope</t>
  </si>
  <si>
    <t>Source</t>
  </si>
  <si>
    <t>Scope</t>
  </si>
  <si>
    <t>Emissions 
(MT CO2e)</t>
  </si>
  <si>
    <t>Electricity</t>
  </si>
  <si>
    <t>Electricity T&amp;D Losses</t>
  </si>
  <si>
    <t>Fuel Oil</t>
  </si>
  <si>
    <t>Nat. Gas. Dist. Losses</t>
  </si>
  <si>
    <t>Commercial &amp; Institutional Buildings &amp; Manufacturing Industries</t>
  </si>
  <si>
    <t>Off-Road (Various Fuels)</t>
  </si>
  <si>
    <t>CNG</t>
  </si>
  <si>
    <t>Rail (MBTA)</t>
  </si>
  <si>
    <t xml:space="preserve">Solid Waste Disposal  </t>
  </si>
  <si>
    <t>Methane Commitment</t>
  </si>
  <si>
    <t>Direct Emissions</t>
  </si>
  <si>
    <t>Effluent</t>
  </si>
  <si>
    <t>All Sectors &amp; Subsectors:</t>
  </si>
  <si>
    <t>Table 5: Community-wide Emissions Summary by Sector, Subsector, Source, Scope &amp; Gas</t>
  </si>
  <si>
    <t>Methane Emissions (MT CH4)</t>
  </si>
  <si>
    <t>Carbon Dioxide Emissions (MT CO2)</t>
  </si>
  <si>
    <t>Nitrous Oxide Emissions (MT N2O)</t>
  </si>
  <si>
    <t>Carbon Dioxide Equivalent Emissions (MT CO2e)</t>
  </si>
  <si>
    <t>Table 6: Community-wide Summary of Building Energy Use by Sector and  Source</t>
  </si>
  <si>
    <t>Consumption (mmBtu)</t>
  </si>
  <si>
    <t xml:space="preserve"> Emissions (MTCO2e)</t>
  </si>
  <si>
    <t>% of Total Energy Emissions</t>
  </si>
  <si>
    <t xml:space="preserve"> Res. Electricity</t>
  </si>
  <si>
    <t xml:space="preserve"> Res. Natural Gas</t>
  </si>
  <si>
    <t xml:space="preserve"> Res. Fuel Oil</t>
  </si>
  <si>
    <t>Commercial &amp; Institutional Buildings and Facilities + Manufacturing Industries*</t>
  </si>
  <si>
    <t xml:space="preserve"> Comm. &amp; Man. Electricity</t>
  </si>
  <si>
    <t xml:space="preserve"> Comm. &amp; Man. Natural Gas</t>
  </si>
  <si>
    <t xml:space="preserve"> Comm. &amp; Man. Fuel Oil</t>
  </si>
  <si>
    <t>All Buildings</t>
  </si>
  <si>
    <t>The above energy consumption and emissions data excludes electricity transmission and distribution losses associated with electricity and natural gas. See "Stationary Energy - Summary" worksheet for a detailed breakdown of transmission and distribution losses.</t>
  </si>
  <si>
    <t>Table 7: Enery Industries Emissions - For Informational Purposes Only</t>
  </si>
  <si>
    <t xml:space="preserve"> Emissions (MTCO2)</t>
  </si>
  <si>
    <r>
      <t xml:space="preserve">Energy Industries </t>
    </r>
    <r>
      <rPr>
        <b/>
        <sz val="12"/>
        <rFont val="Arial"/>
        <family val="2"/>
      </rPr>
      <t>*</t>
    </r>
  </si>
  <si>
    <t>Multiple Fuels</t>
  </si>
  <si>
    <t xml:space="preserve">Emissions from Energy Industries (power plants) are part of the Stationary Energy Sector and fall into one of two categories. In both instances, the emissions in the above table are provided for informational purposes only. 
Category 1)  If the electricity generated from these facilities is consumed directly within the city (e.g. co-generation facility at large business), the emissions from this power plant should be captured under BASIC/BASIC+ GPC reporting guidelines. The natural gas consumption and associated emissions required to generate electricity at these power plants is captured in the Mass Save energy data on the "Stationary Energy - Buildings" tab and included in the total reported emissions. Therefore, adding the above Energy Industries emissions to the community total would constitute double counting of emissions. 
Category 2) If the electricity generated from these facilities is sent to the regional electricity grid (e.g. large coal power plant), the emissions from this power plant should not be captured under BASIC/BASIC+ GPC reporting guidelines. </t>
  </si>
  <si>
    <t>Table 8: Total Community-wide Emissions by Subsector</t>
  </si>
  <si>
    <t>Table 9: Community-wide Emissions Summary by Sector, Subsector, &amp; Scope (with municipal emissions disaggregated)</t>
  </si>
  <si>
    <t>C&amp;I Buildings &amp; Manufacturing Industries*</t>
  </si>
  <si>
    <t>Municipal Buildings</t>
  </si>
  <si>
    <t>On-road Buses and Trolleys (MBTA)</t>
  </si>
  <si>
    <t>*Municipal electricity and natural gas usage has been subtracted from C&amp;I usage to disaggregate municipal usage for the purposes of this Table.</t>
  </si>
  <si>
    <t>Table 10: Total Community-wide Emissions by Subsector (with municipal emissions disaggregated)</t>
  </si>
  <si>
    <t>MBTA Public Transportation (Buses, Trolleys, &amp; Railways)</t>
  </si>
  <si>
    <t>Waste (Landfill, Biological Treatment, &amp; Incineration &amp; Open Burning)</t>
  </si>
  <si>
    <t>*Subsectors have been added together in places to support visualization of the data in "Report Charts"</t>
  </si>
  <si>
    <t>All Emissions: Multi-Year Comparison</t>
  </si>
  <si>
    <t>Multiple</t>
  </si>
  <si>
    <t>This worksheet provides an overall summary of emissions from the three main GPC sectors - Stationary Energy, Transportation, and Waste - based on the information calculated for the sector specific emissions summaries. The purpose of this worksheet is to provide a multi-year comparison across multiple inventory years. Communities should copy/paste values from an inventory year not covered in this inventory tool into the below tables in order to track emissions trends over time. For example, if this version of the tool covers inventory year 2022, but the community has also used a separate version of the tool to calculate 2017 emissions, those 2017 emissions can be copy/pasted into the below table.</t>
  </si>
  <si>
    <t>Table 1: Community-wide Emissions Summary by Sector &amp; Scope: YYYY - YYYY</t>
  </si>
  <si>
    <t>YYYY Total Emissions (MT CO2e)</t>
  </si>
  <si>
    <t xml:space="preserve"> YYYY Total Emissions (MT CO2e)</t>
  </si>
  <si>
    <t>2022 Total Emissions (MT CO2e)</t>
  </si>
  <si>
    <t>Percent Change from YYYY --&gt; YYYY</t>
  </si>
  <si>
    <t>Table 2: Municipal Operations Emissions Summary by Sector &amp; Scope: YYYY - YYYY</t>
  </si>
  <si>
    <t>Table 3: Community-wide Emissions Summary by Sector, Subsector, &amp; Scope: YYYY - YYYY</t>
  </si>
  <si>
    <t>Railways</t>
  </si>
  <si>
    <t>Y/N</t>
  </si>
  <si>
    <t>MSW</t>
  </si>
  <si>
    <t>IOU options</t>
  </si>
  <si>
    <t>Muni Utilities</t>
  </si>
  <si>
    <t>Town</t>
  </si>
  <si>
    <t>Landfill option</t>
  </si>
  <si>
    <t>WWTP options</t>
  </si>
  <si>
    <t>Electricity provider</t>
  </si>
  <si>
    <t>Electricity Emissions</t>
  </si>
  <si>
    <t>County</t>
  </si>
  <si>
    <t>Municipal Utility/Not served by IOU</t>
  </si>
  <si>
    <t>Clinton WWTP</t>
  </si>
  <si>
    <t>Yes</t>
  </si>
  <si>
    <t>Our municipality is not listed</t>
  </si>
  <si>
    <t>Acton</t>
  </si>
  <si>
    <t>Municipal</t>
  </si>
  <si>
    <t>Berkshire</t>
  </si>
  <si>
    <t>Acushnet</t>
  </si>
  <si>
    <t>Greater Lawrence WWTP</t>
  </si>
  <si>
    <t>CCA</t>
  </si>
  <si>
    <t>Bristol</t>
  </si>
  <si>
    <t>Adams</t>
  </si>
  <si>
    <t>Pittsfield WWTP</t>
  </si>
  <si>
    <t>Dukes</t>
  </si>
  <si>
    <t>Eversource &amp; NGRID</t>
  </si>
  <si>
    <t>Agawam</t>
  </si>
  <si>
    <t>Rockland WWTP</t>
  </si>
  <si>
    <t>Essex</t>
  </si>
  <si>
    <t>Alford</t>
  </si>
  <si>
    <t>None of these WWTPs</t>
  </si>
  <si>
    <t>Franklin</t>
  </si>
  <si>
    <t>Amesbury</t>
  </si>
  <si>
    <t>Hampden</t>
  </si>
  <si>
    <t>Amherst</t>
  </si>
  <si>
    <t>Hampshire</t>
  </si>
  <si>
    <t>Andover</t>
  </si>
  <si>
    <t>Middlesex</t>
  </si>
  <si>
    <t>Aquinnah</t>
  </si>
  <si>
    <t>Nantucket</t>
  </si>
  <si>
    <t>Arlington</t>
  </si>
  <si>
    <t>Norfolk</t>
  </si>
  <si>
    <t>Ashburnham</t>
  </si>
  <si>
    <t>Plymouth</t>
  </si>
  <si>
    <t>Ashby</t>
  </si>
  <si>
    <t>Suffolk</t>
  </si>
  <si>
    <t>Ashfield</t>
  </si>
  <si>
    <t>Worcester</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</si>
  <si>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</si>
  <si>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</si>
  <si>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</si>
  <si>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</si>
  <si>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</si>
  <si>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</si>
  <si>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</si>
  <si>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</si>
  <si>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</si>
  <si>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</si>
  <si>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</si>
  <si>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</si>
  <si>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</si>
  <si>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</si>
  <si>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</si>
  <si>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</si>
  <si>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</si>
  <si>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</si>
  <si>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</si>
  <si>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</si>
  <si>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</si>
  <si>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</si>
  <si>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</si>
  <si>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</si>
  <si>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</si>
  <si>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</si>
  <si>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</si>
  <si>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</si>
  <si>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</si>
  <si>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</si>
  <si>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</si>
  <si>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</si>
  <si>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</si>
  <si>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</si>
  <si>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</si>
  <si>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</si>
  <si>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</si>
  <si>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</si>
  <si>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</si>
  <si>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</si>
  <si>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</si>
  <si>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</si>
  <si>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</si>
  <si>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</si>
  <si>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</si>
  <si>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</si>
  <si>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</si>
  <si>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</si>
  <si>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</si>
  <si>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</si>
  <si>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</si>
  <si>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</si>
  <si>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</si>
  <si>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</si>
  <si>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</si>
  <si>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</si>
  <si>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</si>
  <si>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</si>
  <si>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</si>
  <si>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</si>
  <si>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</si>
  <si>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</si>
  <si>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</si>
  <si>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</si>
  <si>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</si>
  <si>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</si>
  <si>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</si>
  <si>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</si>
  <si>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</si>
  <si>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</si>
  <si>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</si>
  <si>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</si>
  <si>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</si>
  <si>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</si>
  <si>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</si>
  <si>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</si>
  <si>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</si>
  <si>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</si>
  <si>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</si>
  <si>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</si>
  <si>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</si>
  <si>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</si>
  <si>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</si>
  <si>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</si>
  <si>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</si>
  <si>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</si>
  <si>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</si>
  <si>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</si>
  <si>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</si>
  <si>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</si>
  <si>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</si>
  <si>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</si>
  <si>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</si>
  <si>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</si>
  <si>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</si>
  <si>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</si>
  <si>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</si>
  <si>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</si>
  <si>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</si>
  <si>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</si>
  <si>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</si>
  <si>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</si>
  <si>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</si>
  <si>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</si>
  <si>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</si>
  <si>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</si>
  <si>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</si>
  <si>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</si>
  <si>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</si>
  <si>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</si>
  <si>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</si>
  <si>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</si>
  <si>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</si>
  <si>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</si>
  <si>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</si>
  <si>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</si>
  <si>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</si>
  <si>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</si>
  <si>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</si>
  <si>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</si>
  <si>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</si>
  <si>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</si>
  <si>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</si>
  <si>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</si>
  <si>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</si>
  <si>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</si>
  <si>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</si>
  <si>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</si>
  <si>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</si>
  <si>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</si>
  <si>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</si>
  <si>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</si>
  <si>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</si>
  <si>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</si>
  <si>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</si>
  <si>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</si>
  <si>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</si>
  <si>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</si>
  <si>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</si>
  <si>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</si>
  <si>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</si>
  <si>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</si>
  <si>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</si>
  <si>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</si>
  <si>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</si>
  <si>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</si>
  <si>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</si>
  <si>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</si>
  <si>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</si>
  <si>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</si>
  <si>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</si>
  <si>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</si>
  <si>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</si>
  <si>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</si>
  <si>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</si>
  <si>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</si>
  <si>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</si>
  <si>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</si>
  <si>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</si>
  <si>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</si>
  <si>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</si>
  <si>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</si>
  <si>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</si>
  <si>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</si>
  <si>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</si>
  <si>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</si>
  <si>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</si>
  <si>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</si>
  <si>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</si>
  <si>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</si>
  <si>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</si>
  <si>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</si>
  <si>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</si>
  <si>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</si>
  <si>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</si>
  <si>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</si>
  <si>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</si>
  <si>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</si>
  <si>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</si>
  <si>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</si>
  <si>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</si>
  <si>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</si>
  <si>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</si>
  <si>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</si>
  <si>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</si>
  <si>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</si>
  <si>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</si>
  <si>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</si>
  <si>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</si>
  <si>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</si>
  <si>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</si>
  <si>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</si>
  <si>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</si>
  <si>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</si>
  <si>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</si>
  <si>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</si>
  <si>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</si>
  <si>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</si>
  <si>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</si>
  <si>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</si>
  <si>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</si>
  <si>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</si>
  <si>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</si>
  <si>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</si>
  <si>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</si>
  <si>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</si>
  <si>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</si>
  <si>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</si>
  <si>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</si>
  <si>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</si>
  <si>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</si>
  <si>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</si>
  <si>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</si>
  <si>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</si>
  <si>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</si>
  <si>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</si>
  <si>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</si>
  <si>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</si>
  <si>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</si>
  <si>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</si>
  <si>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</si>
  <si>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</si>
  <si>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</si>
  <si>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</si>
  <si>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</si>
  <si>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</si>
  <si>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</si>
  <si>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</si>
  <si>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</si>
  <si>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</si>
  <si>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</si>
  <si>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</si>
  <si>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</si>
  <si>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</si>
  <si>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</si>
  <si>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</si>
  <si>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</si>
  <si>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</si>
  <si>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</si>
  <si>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</si>
  <si>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</si>
  <si>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</si>
  <si>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</si>
  <si>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</si>
  <si>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</si>
  <si>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</si>
  <si>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</si>
  <si>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</si>
  <si>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</si>
  <si>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</si>
  <si>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</si>
  <si>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</si>
  <si>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</si>
  <si>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</si>
  <si>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</si>
  <si>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</si>
  <si>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</si>
  <si>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</si>
  <si>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</si>
  <si>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</si>
  <si>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</si>
  <si>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</si>
  <si>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</si>
  <si>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</si>
  <si>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</si>
  <si>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</si>
  <si>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</si>
  <si>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</si>
  <si>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</si>
  <si>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</si>
  <si>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</si>
  <si>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</si>
  <si>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</si>
  <si>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</si>
  <si>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</si>
  <si>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</si>
  <si>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</si>
  <si>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</si>
  <si>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</si>
  <si>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</si>
  <si>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</si>
  <si>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</si>
  <si>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</si>
  <si>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</si>
  <si>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</si>
  <si>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</si>
  <si>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</si>
  <si>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</si>
  <si>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</si>
  <si>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</si>
  <si>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</si>
  <si>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</si>
  <si>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</si>
  <si>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</si>
  <si>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</si>
  <si>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</si>
  <si>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</si>
  <si>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</si>
  <si>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</si>
  <si>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</si>
  <si>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</si>
  <si>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</si>
  <si>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</si>
  <si>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</si>
  <si>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</si>
  <si>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</si>
  <si>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</si>
  <si>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</si>
  <si>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</si>
  <si>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</si>
  <si>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</si>
  <si>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</si>
  <si>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</si>
  <si>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</si>
  <si>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</si>
  <si>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</si>
  <si>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</si>
  <si>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</si>
  <si>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</si>
  <si>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</si>
  <si>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</si>
  <si>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</si>
  <si>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</si>
  <si>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</si>
  <si>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</si>
  <si>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</si>
  <si>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</si>
  <si>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</si>
  <si>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</si>
  <si>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Summary Figures</t>
  </si>
  <si>
    <t>Emission Factors &amp; Conversion Factors*</t>
  </si>
  <si>
    <t>*Emissions factors need to be checked annually to confirm conformance with latest standards</t>
  </si>
  <si>
    <r>
      <t>Emission factors in terms of carbon dioxide (CO</t>
    </r>
    <r>
      <rPr>
        <sz val="8"/>
        <rFont val="Arial"/>
        <family val="2"/>
      </rPr>
      <t>2</t>
    </r>
    <r>
      <rPr>
        <sz val="10"/>
        <rFont val="Arial"/>
        <family val="2"/>
      </rPr>
      <t>), methane (CH</t>
    </r>
    <r>
      <rPr>
        <sz val="8"/>
        <rFont val="Arial"/>
        <family val="2"/>
      </rPr>
      <t>4</t>
    </r>
    <r>
      <rPr>
        <sz val="10"/>
        <rFont val="Arial"/>
        <family val="2"/>
      </rPr>
      <t>) and nitrous oxide (N</t>
    </r>
    <r>
      <rPr>
        <sz val="8"/>
        <rFont val="Arial"/>
        <family val="2"/>
      </rPr>
      <t>2</t>
    </r>
    <r>
      <rPr>
        <sz val="10"/>
        <rFont val="Arial"/>
        <family val="2"/>
      </rPr>
      <t>O) are summarized on this worksheet. Global warming potentials of methane (CH</t>
    </r>
    <r>
      <rPr>
        <sz val="8"/>
        <rFont val="Arial"/>
        <family val="2"/>
      </rPr>
      <t>4</t>
    </r>
    <r>
      <rPr>
        <sz val="10"/>
        <rFont val="Arial"/>
        <family val="2"/>
      </rPr>
      <t xml:space="preserve">) and nitrous oxide (N2O) and common conversion factors are also included on this worksheet. In accordance with the GPC, the most recent global warming potential (GWP) values on a 100-year time horizon from the IPCC 5th Assessment Report are used throughout this report. 
</t>
    </r>
  </si>
  <si>
    <t>Table 1: Stationary Fuel Emission Factors</t>
  </si>
  <si>
    <t>MT CO2/Therm</t>
  </si>
  <si>
    <t>MT CH4/Therm</t>
  </si>
  <si>
    <t>MT N2O/Therm</t>
  </si>
  <si>
    <t>Natural Gas*</t>
  </si>
  <si>
    <t>EPA</t>
  </si>
  <si>
    <t>*CCAR and TCR do not include CH4 or N2O in emissions from natural gas because these emissions are considered to be de minimis</t>
  </si>
  <si>
    <t>Table 2. Fugitive Emission Factor for Distribution Sector Natural Gas</t>
  </si>
  <si>
    <t>Description</t>
  </si>
  <si>
    <t>Volume of Natural Gas per Heat Energy (m3 gas /therm gas)</t>
  </si>
  <si>
    <t>Universal Conversion</t>
  </si>
  <si>
    <t>Density of Natural Gas at Standard Temperature and Pressure (kg gas/m3 gas)</t>
  </si>
  <si>
    <t>GHG Protocol Calculation Tool for Direct Emissions</t>
  </si>
  <si>
    <t>Mass of Natural Gas per Therm of Natural Gas (kg gas/therm gas)</t>
  </si>
  <si>
    <t>Calculated</t>
  </si>
  <si>
    <t>Mass of Natural Gas per Therm of Natural Gas (MT gas/therm gas)</t>
  </si>
  <si>
    <t>Methane Content in Distribution Sector Natural Gas (%)</t>
  </si>
  <si>
    <t>Natural Gas and Petroleum Systems in the GHG Inventory, Annex 3.6, Table 3.6-11</t>
  </si>
  <si>
    <t>Carbon Dioxide Content in Distribution Sector Natural Gas (%)</t>
  </si>
  <si>
    <t>Methane Mass per Therm of Natural Gas (MT CH4/therm)</t>
  </si>
  <si>
    <t>Carbon Dioxide Mass per Therm of Natural Gas (MT CO2/therm)</t>
  </si>
  <si>
    <t>Fugitive Natural Gas Emission Factor (MT CH4/therm)</t>
  </si>
  <si>
    <t>Fugitive Natural Gas Emission Factor (MT CO2/therm)</t>
  </si>
  <si>
    <t>Table 3. MA DEP Massachusetts-based Retail Level Electricity Emission Factor</t>
  </si>
  <si>
    <t>Combined Retail Level Electricity Emission Factor (lbs CO2e/MWh)</t>
  </si>
  <si>
    <t>In order to determine the utility-specific and CCA-specific emission factors, Table 1 from the MassDEP GHG Reporting Program Summary report for Retail Sellers of Electricity Emissions in the inventory year was referenced. Per guidance from DEP, and in accordance with the State's GHG inventory, the "Massachusetts-based approach" non-biogenic electricity emissions factor after accounting for particular generating units from Table 2 was used as the base assumption. The Massachusetts-based consumer retail level combined electricity factors for CO2, CH4, and N2O from Appendix 3, Table 12, are used to estimate the breakdown of different gases.</t>
  </si>
  <si>
    <t>MA DEP Reported Emissions Factors</t>
  </si>
  <si>
    <t>Table 4. Investor-owned Utility Electricity Emission Factor: Community</t>
  </si>
  <si>
    <t>Rate Option</t>
  </si>
  <si>
    <t>DEP Generic "Massachusetts-based" CO2 Electricity Emission Factor (lbs CO2/MWh)</t>
  </si>
  <si>
    <t>DEP Generic "Massachusetts-based" CH4 Electricity Emission Factor (lbs CH4/MWh)</t>
  </si>
  <si>
    <t>DEP Generic "Massachusetts-based" N2O Electricity Emission Factor (lbs N2O/MWh)</t>
  </si>
  <si>
    <t>Emissions Rate (MT CH4/kWh)</t>
  </si>
  <si>
    <t>Emissions Rate (MT CO2/kWh)</t>
  </si>
  <si>
    <t>Emissions Rate (MT N2O/kWh)</t>
  </si>
  <si>
    <t>Overall Emission Factor (MT of CO2e/kWh)</t>
  </si>
  <si>
    <t>Overall Emission Factor (lbs of CO2e/MWh)</t>
  </si>
  <si>
    <t>Selected Investor-owned Utility</t>
  </si>
  <si>
    <t xml:space="preserve">The above electricity emission factor is used to calculate electricity emissions associated all electricity consumed by  buildings  in the community that is procured from the investor-owned utility that serves the community. </t>
  </si>
  <si>
    <t>Table 5. Investor-owned Utility Electricity Emission Factor: Regional Public Transit</t>
  </si>
  <si>
    <t>DEP Generic "Massachusetts-based" CO2 Electricity Emission Factor (lbs CO2 / MWh)</t>
  </si>
  <si>
    <t>DEP Generic "Massachusetts-based" CH4 Electricity Emission Factor (lbs CH4 / MWh)</t>
  </si>
  <si>
    <t>DEP Generic "Massachusetts-based" N2O Electricity Emission Factor (lbs N2O / MWh)</t>
  </si>
  <si>
    <t>Average Investor-owned Utility</t>
  </si>
  <si>
    <t>The above electricity emission factor is only used to calculate electricity emissions associated with regional public transportation. The emission factor is based on the IOU average emission factor.</t>
  </si>
  <si>
    <t>Table 6. List Investor-owned Utilities and % Non-emitting Sales</t>
  </si>
  <si>
    <t>Investor-owned Utility</t>
  </si>
  <si>
    <t xml:space="preserve">Retail electricity providers and IOUs can voluntarily report the percent of sales reported as "non-emitting MWh" to DEP. For Eversource, NGRID, and Unitil: Navigate to Appendix 2B, "Table 9: Individual Electric Utility and Competitive Supplier Percent of Sales Claimed as Unit-Specific Generation". For each Utility, input the value of the MWh claimed as unit-specific generation, non-emitting divided by the MWh reported as retail sales. The "Eversource &amp; NGRID" data in the above table represents a weighted average between the two utilities based on the percent of electricity provided by each utility in a given community. This information is only applicable to communities in which electricity is provided by both Eversource &amp; NGRID. </t>
  </si>
  <si>
    <t>Table 7. Community Choice Aggregation Electricity Emission Factors</t>
  </si>
  <si>
    <t>Include this Rate in Calculations?</t>
  </si>
  <si>
    <t>Base Assumption % Of Sales Reported to MA DEP as "Non-emitting MWh"</t>
  </si>
  <si>
    <t>Combined % of Sales from "Non-emitting MWh"</t>
  </si>
  <si>
    <t>% of Total Residential CCA Electric Load Enrolled in Rate</t>
  </si>
  <si>
    <t>% of Total Non-Residential CCA Electric Load Enrolled in Rate</t>
  </si>
  <si>
    <t xml:space="preserve"> Emissions Rate (MT CO2/kWh)</t>
  </si>
  <si>
    <t xml:space="preserve"> Emissions Rate (MT N2O/kWh)</t>
  </si>
  <si>
    <t>CCA Rate Option 1</t>
  </si>
  <si>
    <t>CCA Rate Option 2</t>
  </si>
  <si>
    <t>CCA Rate Option 3</t>
  </si>
  <si>
    <t>CCA Rate Option 4</t>
  </si>
  <si>
    <t>Residential Weighted</t>
  </si>
  <si>
    <t>Non-Residential Weighted</t>
  </si>
  <si>
    <t xml:space="preserve">Retail electricity providers can voluntarily report the percent of sales reported as "non-emitting MWh" to DEP. Since this information is not available for all retailers, the above analysis assumes that the base percentage of "non-emitting MWh" for retailers is equal to the RPS Class I (including carve-outs) minimum requirement for the inventory year. This assumes retailers comply with the minimum RPS compliance. In addition to this minimum compliance, some CCAs offer rates that include a set percentage of Class I Voluntary Renewable Energy Credits (RECs). Users should input the % of Class I Voluntary RECs associated with the electricity rates offered in their community on the "Inputs" tab. </t>
  </si>
  <si>
    <t>MA RPS Information</t>
  </si>
  <si>
    <t>Table 8. Municipal Utility Electricity Emission Factor</t>
  </si>
  <si>
    <t>DEP Generic "Massachusetts-based" CH4 Electricity Emission Factor (lbs CO2/MWh)</t>
  </si>
  <si>
    <t>Selected Municipal Utility</t>
  </si>
  <si>
    <r>
      <t xml:space="preserve">Municipal utilities can voluntarily report the percent of sales reported as "non-emitting MWh" to DEP. Since this information is not always available, the above analysis assumes that the base percentage of "non-emitting MWh" for retailers is equal to the RPS Class I (including carve-outs) minimum requirement for the inventory year. This assumes retailers comply with the minimum RPS compliance. See </t>
    </r>
    <r>
      <rPr>
        <u/>
        <sz val="9"/>
        <rFont val="Arial"/>
        <family val="2"/>
      </rPr>
      <t>Table 9</t>
    </r>
    <r>
      <rPr>
        <sz val="9"/>
        <rFont val="Arial"/>
        <family val="2"/>
      </rPr>
      <t xml:space="preserve"> below for more details. </t>
    </r>
  </si>
  <si>
    <t>Table 9. List of Municipal Utilities % Non-emitting Sales</t>
  </si>
  <si>
    <t>Municipal Utility</t>
  </si>
  <si>
    <t>Retail electricity providers and IOUs can voluntarily report the percent of sales reported as "non-emitting MWh" to DEP. This data for reporting municipal utilities is from the MassDEP GHG Reporting Program Summary Report For Retail Sellers of Electricity Emissions for the inventory year</t>
  </si>
  <si>
    <t>Table 10. Weighted Average Electricity Emission Factors by Building Subsector</t>
  </si>
  <si>
    <t>Electricity Consumption (kWh)</t>
  </si>
  <si>
    <t>Electricity CH4 Emissions (MT CH4)</t>
  </si>
  <si>
    <t>Electricity CO2 Emissions (MT CO2)</t>
  </si>
  <si>
    <t>Electricity N2O Emissions (MT N2O)</t>
  </si>
  <si>
    <t xml:space="preserve">The above electricity emission factor is only used to calculate electricity emissions associated with electric vehicle charging and electricity transmission and distribution losses. The emission factor is based on the weighted average electricity emission factor by building subsector including all electricity providers (investor-owned utilities, municipal utilities and community choice aggregators). </t>
  </si>
  <si>
    <t>Table 11: IPCC AR6 100-Year Global Warming Potentials without Climate-carbon Feedbacks</t>
  </si>
  <si>
    <t>IPCC Global Warning Potential Values</t>
  </si>
  <si>
    <t>Table 12: Transportation Fuel Emission Factors</t>
  </si>
  <si>
    <t>Unit</t>
  </si>
  <si>
    <t>MT CH4/Unit</t>
  </si>
  <si>
    <t>MT CO2/Unit</t>
  </si>
  <si>
    <t>MT N2O/Unit</t>
  </si>
  <si>
    <t>Sources</t>
  </si>
  <si>
    <t>Gallon</t>
  </si>
  <si>
    <t>MT CO2e/gallon</t>
  </si>
  <si>
    <t>MMBTU</t>
  </si>
  <si>
    <t>SCF</t>
  </si>
  <si>
    <t>MT CO2/SCF</t>
  </si>
  <si>
    <t>Table 13: Conversion Factors</t>
  </si>
  <si>
    <t>Conversion From:</t>
  </si>
  <si>
    <t>Conversion To:</t>
  </si>
  <si>
    <t xml:space="preserve">Multiply By: </t>
  </si>
  <si>
    <t>Gallon Distillate Fuel Oil No. 2</t>
  </si>
  <si>
    <t>Gram (g)</t>
  </si>
  <si>
    <t>Metric Ton (MT)</t>
  </si>
  <si>
    <t>Kilogram (kg)</t>
  </si>
  <si>
    <t>kWh</t>
  </si>
  <si>
    <t>Megawatt-hour (MWh)</t>
  </si>
  <si>
    <t>Kilowatt-hour (kWh)</t>
  </si>
  <si>
    <t>Million Metric Tons (MMT)</t>
  </si>
  <si>
    <t>Pound (lb)</t>
  </si>
  <si>
    <t>Short Ton</t>
  </si>
  <si>
    <t>Metric Ton</t>
  </si>
  <si>
    <t>Gigagram (Gg)</t>
  </si>
  <si>
    <t>Standard Cubic Foot (SCF) Natural Gas</t>
  </si>
  <si>
    <t>Million British Thermal Units (MMBTU)</t>
  </si>
  <si>
    <t>Therm</t>
  </si>
  <si>
    <t>Kilograms (kg)</t>
  </si>
  <si>
    <t>Stationary Energy: Community-wide Energy &amp; Emissions Summary</t>
  </si>
  <si>
    <t>All Stationary Energy Subsectors</t>
  </si>
  <si>
    <t xml:space="preserve">This worksheet provides a summary of energy consumption and emissions in the Stationary Energy Sector. This includes electricity, natural gas, fuel oil and off-road emissions. The emissions from electricity and natural gas were calculated based on guidance in the GPC, Appendix C: Built Environment Activities and Sources. Emissions from stationary combustion of natural gas were calculated based on method BE1.1, and emissions from electricity were calculated based on method BE.2.2. Emission factors are explained on the "Emission Factors" worksheet. </t>
  </si>
  <si>
    <t>Table 1: Summary of Energy Emissions from Residential Buildings, Commercial &amp; Institutional Buildings and Manufacturing Industries &amp; Construction Subsectors</t>
  </si>
  <si>
    <t>Energy Category</t>
  </si>
  <si>
    <t>Natural Gas (Therms)</t>
  </si>
  <si>
    <t>Natural Gas CH4 Emissions
 (MT CH4)</t>
  </si>
  <si>
    <t>Natural Gas CO2
(MT CO2)</t>
  </si>
  <si>
    <t>Electricity Consumption CH4 Emissions
 (MT CH4)</t>
  </si>
  <si>
    <t>Electricity Consumption CO2 Emissions (MT CO2)</t>
  </si>
  <si>
    <t>Electricity Consumption N2O Emissions (MT N2O)</t>
  </si>
  <si>
    <t>Electricity T&amp;D Losses (kWh)</t>
  </si>
  <si>
    <t>Electricity T&amp;D Losses CH4 Emissions (MT CH4)</t>
  </si>
  <si>
    <t>Electricity T&amp;D Losses CO2 Emissions (MT C02)</t>
  </si>
  <si>
    <t>Electricity T&amp;D Losses N2O Emissions (MT N2O)</t>
  </si>
  <si>
    <t>Fuel Oil (gal)</t>
  </si>
  <si>
    <t>Fuel Oil CH4 Emissions 
(MT CH4)</t>
  </si>
  <si>
    <t>Fuel Oil  CO2 Emissions 
(MT CO2)</t>
  </si>
  <si>
    <t>Fuel Oil N2O Emissions 
(MT N2O)</t>
  </si>
  <si>
    <t>Off-road CH4 Emissions-Various Fuels
(MT CH4)</t>
  </si>
  <si>
    <t>Off-road CO2 Emissions-Various Fuels 
(MT CO2)</t>
  </si>
  <si>
    <t>Total CH4 Emissions 
(MT CH4)</t>
  </si>
  <si>
    <t>Total CO2 Emissions 
(MT CO2)</t>
  </si>
  <si>
    <t>Total N2O Emissions 
(MT N2O)</t>
  </si>
  <si>
    <t>IOU Residential</t>
  </si>
  <si>
    <t>CCA Residential</t>
  </si>
  <si>
    <t>Muni Residential</t>
  </si>
  <si>
    <t>All Res. T&amp;D Losses</t>
  </si>
  <si>
    <t>EV Adjustment</t>
  </si>
  <si>
    <t>Res. Buildings Total</t>
  </si>
  <si>
    <t>IOU Non-Residential</t>
  </si>
  <si>
    <t>CCA Non-Residential</t>
  </si>
  <si>
    <t>Muni Non-Residential</t>
  </si>
  <si>
    <t>All C&amp;I T&amp;D Losses</t>
  </si>
  <si>
    <t>Off-road</t>
  </si>
  <si>
    <t>C&amp;I Buildings Total</t>
  </si>
  <si>
    <t>Construction Total</t>
  </si>
  <si>
    <t>Table 2: Summary of Emissions from Energy Industries Subsector</t>
  </si>
  <si>
    <t>Energy Industries</t>
  </si>
  <si>
    <t xml:space="preserve">Emissions from energy generation supplied to the grid (which make up all emissions from the Energy Industries Sector in this inventory) are required for territorial total but not for BASIC/BASIC+ reporting under GPC guidelines. </t>
  </si>
  <si>
    <t>Stationary Energy: Community-wide Building Energy &amp; Emissions</t>
  </si>
  <si>
    <t>Subsectors:</t>
  </si>
  <si>
    <t>Res. Buildings, C&amp;I Buildings, + Manuf. Industries &amp; Const.</t>
  </si>
  <si>
    <r>
      <t>Total community-level electricity and natural gas consumption is provided through Mass Save Data. For communities that have municipal utilities or community choice aggregations, electricity consumption data from these providers is also included. Utility-specific and rate-specific electricity emission factors were applied to the electricity consumption. A universal EPA natural gas emission factor was used to calculate natural gas emissions</t>
    </r>
    <r>
      <rPr>
        <sz val="10"/>
        <color rgb="FFFF0000"/>
        <rFont val="Arial"/>
        <family val="2"/>
      </rPr>
      <t>.</t>
    </r>
    <r>
      <rPr>
        <sz val="10"/>
        <rFont val="Arial"/>
        <family val="2"/>
      </rPr>
      <t xml:space="preserve"> Fuel oil consumption was estimated using U.S. Energy Information data on average fuel oil consumption by building type, Massachusetts Executive office of Labor and Workforce Development (EOLWD) data on employment by sector, and American Community Survey data on residential building types. The total natural gas, fuel oil and electricity consumption for the community is summed in a separate worksheet titled "Stationary Energy - Summary."
                                                          </t>
    </r>
  </si>
  <si>
    <t>Table 1. Community Electricity &amp; Natural Gas Consumption &amp; Emissions by Subsector</t>
  </si>
  <si>
    <t>Building Type</t>
  </si>
  <si>
    <t>Natural Gas Consumption (Therms)</t>
  </si>
  <si>
    <t>Electricity  CO2 Emissions (MT CO2)</t>
  </si>
  <si>
    <t>Natural Gas Emissions (MT CO2)</t>
  </si>
  <si>
    <t>Residential Total</t>
  </si>
  <si>
    <t>Comm./Inst./Manu. Total</t>
  </si>
  <si>
    <t>All Building Subsectors</t>
  </si>
  <si>
    <r>
      <t xml:space="preserve">Accounting for electric vehicle charging emissions: Electric vehicles owned by residents are accounted for in the Transportation Sector of this inventory. However, the electricity consumption associated with these vehicles is also bundled into the overall electricity consumption data provided by utilities. To account for this, electricity consumption associated with VMT from passenger and commercial vehicles was subtracted from a combination of the "Residential Buildings" and "Commercial &amp; Institutional Buildings &amp; Manufacturing Industries" subsectors above. See </t>
    </r>
    <r>
      <rPr>
        <u/>
        <sz val="9"/>
        <color theme="1"/>
        <rFont val="Arial"/>
        <family val="2"/>
      </rPr>
      <t>Table 10</t>
    </r>
    <r>
      <rPr>
        <sz val="9"/>
        <color theme="1"/>
        <rFont val="Arial"/>
        <family val="2"/>
      </rPr>
      <t xml:space="preserve"> below for a more detailed description of methodology used. </t>
    </r>
  </si>
  <si>
    <t xml:space="preserve">While "Commercial &amp; Institutional Buildings" and "Manufacturing Industries" are considered two distinct subsectors by the GPC, they were combined for this inventory. Electricity and natural gas consumption data provided by MassSave was grouped as "Commercial &amp; Industrial," thus making it impossible to separate consumption into the suggested GPC categories. </t>
  </si>
  <si>
    <t>Table 1a: Municipal Electricity &amp; Natural Gas Consumption and Emissions</t>
  </si>
  <si>
    <t>Electricity CO2e Emissions (MT CO2e)</t>
  </si>
  <si>
    <t>IOU Municipal</t>
  </si>
  <si>
    <t>CCA Municipal</t>
  </si>
  <si>
    <t>Muni Municipal</t>
  </si>
  <si>
    <t>Municipal Total</t>
  </si>
  <si>
    <t xml:space="preserve">Emissions from municipal buildings associated with electricity and natural gas are calculated for informational purposes only and are not included in the aggregations in Table 1. This is to avoid double counting with the MassSaveData which includes municipal accounts in its commercial and industrial aggregated consumption data. Municipalities served by municipal utilities should make sure municipal consumption is included within the commercial and industrial totals to avoid under counting emissions. </t>
  </si>
  <si>
    <t>Table 2. Fuel Oil Consumption &amp; Emissions by Subsector</t>
  </si>
  <si>
    <t>Annual Fuel Oil Use (gal)</t>
  </si>
  <si>
    <t>Annual Fuel Oil Use (MMBtu)</t>
  </si>
  <si>
    <t>Fuel Oil CH4 Emissions (MT CH4)</t>
  </si>
  <si>
    <t>Fuel Oil CO2 Emissions (MT CO2)</t>
  </si>
  <si>
    <t>Fuel Oil N2O Emissions (MT N2O)</t>
  </si>
  <si>
    <t>Fuel Oil CO2e Emissions (MT CO2e)</t>
  </si>
  <si>
    <t>Commercial &amp; Institutional Buildings</t>
  </si>
  <si>
    <t>Manufacturing Industries &amp; Construction</t>
  </si>
  <si>
    <t>All Building Subsectors:</t>
  </si>
  <si>
    <t>Table 3. Residential Fuel Oil Consumption &amp; Emissions</t>
  </si>
  <si>
    <t>U.S. Average Site Energy Consumption of Fuel Oil (Gallons/Year)</t>
  </si>
  <si>
    <t>Millions Housing Units in MA</t>
  </si>
  <si>
    <t>Percent of Total Housing Units in Massachusetts</t>
  </si>
  <si>
    <t>MA Average Site Energy Consumption of Fuel Oil (Gallons / Year / Site)</t>
  </si>
  <si>
    <t>Percent of Homes in Community Using Fuel Oil as Heating Fuel (%)</t>
  </si>
  <si>
    <t>Annual Fuel Oil Consumption (Gallons/Year)</t>
  </si>
  <si>
    <t>Single-Family- Detached</t>
  </si>
  <si>
    <t>Single-Family- Attached</t>
  </si>
  <si>
    <t>Multi-Family, 2-4 Units</t>
  </si>
  <si>
    <t>Multi-Family, 5+ Units</t>
  </si>
  <si>
    <t>Mobile Homes</t>
  </si>
  <si>
    <t>Residential Total:</t>
  </si>
  <si>
    <t>U.S. Average Residential Site Energy Consumption of Fuel Oil  adjusted based on MA Housing Stock (Gallons / Year / Site)</t>
  </si>
  <si>
    <t>Massachusetts Average Residential Site Energy Consumption of Fuel Oil (Gallons / Year / Site)</t>
  </si>
  <si>
    <t>Adjustment Ratio</t>
  </si>
  <si>
    <t xml:space="preserve">Data on U.S. average site energy consumption of fuel oil by residential building type is from EIA Table CE2.1 Annual Household Site Fuel Consumption in the U.S. - totals and averages, 2020. </t>
  </si>
  <si>
    <t>EIA Table CE2.1</t>
  </si>
  <si>
    <t xml:space="preserve">Data on Massachusetts number of housing units by building type is from American Community Survey data on Housing Tenure by Units in Structure (B25032). Data for 2022 is from the five-year estimates for 2018-2022. </t>
  </si>
  <si>
    <t>ACS B25032 (MAPC DataCommon)</t>
  </si>
  <si>
    <t xml:space="preserve">Data on Massachusetts average fuel oil consumption is from EIA 2020 RECS Dashboard, filtered to Massachussets and Fuel oil consumption per household using fuel oil data.
</t>
  </si>
  <si>
    <t>2020 RECS Dashboard</t>
  </si>
  <si>
    <t>Table 4. Commercial Fuel Oil Consumption &amp; Emissions</t>
  </si>
  <si>
    <t>Primary Building Activity</t>
  </si>
  <si>
    <t xml:space="preserve">Average Monthly Employment </t>
  </si>
  <si>
    <t xml:space="preserve">Number of Employer Establishments Within the Primary Building Activity </t>
  </si>
  <si>
    <t>Average Monthly Employment Per Employer Establishment (Employees/ Employer Establishment)</t>
  </si>
  <si>
    <t>Fuel Oil Consumption Per Employer Establishment (Gallons/ Employer Establishment / Year)</t>
  </si>
  <si>
    <t>Fuel Oil Consumption Per Employee (Gallons/ Employee / Year)</t>
  </si>
  <si>
    <t>Natural Gas Consumption Per Building (Thousand cubic feet/ Building / Year)</t>
  </si>
  <si>
    <t>Percent Difference in Natural Gas Consumption Compared To Office Buildings (%)</t>
  </si>
  <si>
    <t>Percent of Buildings in Community Using Fuel Oil as Heating Fuel (%)</t>
  </si>
  <si>
    <t>Education</t>
  </si>
  <si>
    <t xml:space="preserve">Food Sales </t>
  </si>
  <si>
    <t xml:space="preserve">Food Service </t>
  </si>
  <si>
    <t xml:space="preserve">Health Care Inpatient </t>
  </si>
  <si>
    <t>Health Care Outpatient</t>
  </si>
  <si>
    <t xml:space="preserve">Lodging </t>
  </si>
  <si>
    <t xml:space="preserve">Mercantile Retail (other than mall) </t>
  </si>
  <si>
    <t>Mercantile Enclosed and Strip Malls</t>
  </si>
  <si>
    <t xml:space="preserve">Office </t>
  </si>
  <si>
    <t xml:space="preserve">Public Assembly </t>
  </si>
  <si>
    <t xml:space="preserve">Public Order And Safety </t>
  </si>
  <si>
    <t xml:space="preserve">Religious Worship </t>
  </si>
  <si>
    <t xml:space="preserve">Service </t>
  </si>
  <si>
    <t xml:space="preserve">Warehouse And Storage </t>
  </si>
  <si>
    <t xml:space="preserve">Other </t>
  </si>
  <si>
    <t>Commercial Total:</t>
  </si>
  <si>
    <t xml:space="preserve">Average monthly employment data and number of employer establishments (i.e. buildings) by "Primary Building Activity" is from Massachusetts Executive office of Labor and Workforce Development (EOLWD) Employment and Wages (ES-202) data. North American Industry Classification System (NAICS) codes and titles were matched to "principal business activities" of buildings as defined by the U.S. Energy Information Administration (EIA).  Average monthly employment per employer establishment (i.e. building) for each primary building activity was calculated using this data. </t>
  </si>
  <si>
    <t xml:space="preserve">Fuel oil consumption per employer establishment (i.e. building) is from the U.S. Energy Information Administration (EIA) 2018 CBECS Survey Data Table C34: US Commercial Building Fuel Oil Consumption and Expenditures. For some primary building activities (including Food Sales, Food Service, Health Care Outpatient, Mercantile Enclose and Strip Malls) this data was not available. For this building types, data from EIA Table C24: US Commercial Building Natural Gas Consumption and Expenditures was used to estimate fuel oil use in these buildings relative to the office building type. For example, the average Food Sales building uses 10% more natural gas than the average Office building and the above analysis also assumes that the average Food Sales building uses 10% more fuel oil than the average Office building. </t>
  </si>
  <si>
    <t>EIA Table C34</t>
  </si>
  <si>
    <t xml:space="preserve">The Percent of buildings in community using fuel oil as heating fuel is from the U.S. Energy Information Administration (EIA) 2018 CBECS Survey Data Table B19. Energy Sources, Number of Buildings, 2018. Data for New England showing that of the 274,000 commercial buildings using any energy source, 103,000 (or 37.59%) of them use heating oil. </t>
  </si>
  <si>
    <t>EIA Table B19</t>
  </si>
  <si>
    <t>Table 5. Industrial Fuel Oil Consumption &amp; Emissions</t>
  </si>
  <si>
    <t>Principal Building Activity</t>
  </si>
  <si>
    <t>Number of Employer Establishments Within the Primary Building Activity</t>
  </si>
  <si>
    <t>Energy Consumption Per Employee - Northeast (MMBTU/ employee/ year)</t>
  </si>
  <si>
    <t>Total Energy Consumption  - United States (Trillion BTU / year)</t>
  </si>
  <si>
    <t>Distillate Fuel Oil and Diesel Fuel Energy Consumption (Trillion Btu / year)</t>
  </si>
  <si>
    <t>Percent of Total Energy Consumption from Fuel Oil and Diesel Fuel (%)</t>
  </si>
  <si>
    <t>Distillate Fuel Oil Energy Consumption (Gallons / Year)</t>
  </si>
  <si>
    <t>Beverage and Tobacco Products</t>
  </si>
  <si>
    <t>Textile Mills</t>
  </si>
  <si>
    <t>Textile Product Mills</t>
  </si>
  <si>
    <t>Apparel</t>
  </si>
  <si>
    <t>Leather and Allied Products</t>
  </si>
  <si>
    <t>Wood Products</t>
  </si>
  <si>
    <t>Printing and Related Support</t>
  </si>
  <si>
    <t>Petroleum and Coal Products</t>
  </si>
  <si>
    <t>Chemicals</t>
  </si>
  <si>
    <t>Plastics and Rubber Products</t>
  </si>
  <si>
    <t>Nonmetallic Mineral Products</t>
  </si>
  <si>
    <t>Primary Metals</t>
  </si>
  <si>
    <t>Fabricated Metal Products</t>
  </si>
  <si>
    <t>Machinery</t>
  </si>
  <si>
    <t>Computer and Electronic Products</t>
  </si>
  <si>
    <t>Electrical Equip., Appliances, and Components</t>
  </si>
  <si>
    <t>Transportation Equipment</t>
  </si>
  <si>
    <t>Furniture and Related Products</t>
  </si>
  <si>
    <t>Miscellaneous</t>
  </si>
  <si>
    <t>Industrial Total:</t>
  </si>
  <si>
    <t xml:space="preserve">Fuel oil consumption per employee by primary building activity is from U.S. Energy Information Administration (EIA) 2018 Manufacturing Energy Consumption Survey (MCES) Table 6.1: Consumption Ratios of Fuel. Data for the northeast region was use in most cases. For some primary building activities (including Textile Mills, Textile Product Mills, and Transportation Equipment) northeast data was not available and national data was used. 
 </t>
  </si>
  <si>
    <t>EIA Table 6.1</t>
  </si>
  <si>
    <t xml:space="preserve">Total U.S. energy consumption by primary building activity is from U.S. Energy Information Administration (EIA) 2018 Manufacturing Energy Consumption Survey (MCES) Table 1.1: First Use of Energy for all Purposes (Fuel and Nonfuel). </t>
  </si>
  <si>
    <t>EIA Table 1.1</t>
  </si>
  <si>
    <t xml:space="preserve">Total U.S. distillate fuel oil and diesel fuel energy consumption by primary building activity is from U.S. Energy Information Administration (EIA) 2018 Manufacturing Energy Consumption Survey (MCES) Table 5.4: End Uses of Fuel Consumption. Where 2018 data is unavailable, 2014 data from Table 5.4 is used. Data on distillate fuel oil and diesel fuel was combined. This analysis assumes distillate fuel oil makes up 100% of this combined total. </t>
  </si>
  <si>
    <t>EIA Table 5.4</t>
  </si>
  <si>
    <t>Table 6. Commercial &amp; Industrial Fuel Oil: Employment &amp; Establishments by NAICS Code and Business Activity VLookup</t>
  </si>
  <si>
    <t>North American Industry Classification System (NAICS) Code</t>
  </si>
  <si>
    <t>EIA Principal Business Activity</t>
  </si>
  <si>
    <t xml:space="preserve">Number of Employer Establishments </t>
  </si>
  <si>
    <t>Average Monthly Employment</t>
  </si>
  <si>
    <t>Crop production</t>
  </si>
  <si>
    <t>Other</t>
  </si>
  <si>
    <t>Animal production and aquaculture</t>
  </si>
  <si>
    <t>Forestry and logging</t>
  </si>
  <si>
    <t>Fishing, hunting and trapping</t>
  </si>
  <si>
    <t>Agriculture and forestry support activities</t>
  </si>
  <si>
    <t>Mining, except oil and gas</t>
  </si>
  <si>
    <t>Support activities for mining</t>
  </si>
  <si>
    <t>Utilities</t>
  </si>
  <si>
    <t>Construction of buildings</t>
  </si>
  <si>
    <t>Heavy and civil engineering construction</t>
  </si>
  <si>
    <t>Specialty trade contractors</t>
  </si>
  <si>
    <t>Warehouse/ Storage</t>
  </si>
  <si>
    <t>Commercial</t>
  </si>
  <si>
    <t>Electronic markets and agents and brokers</t>
  </si>
  <si>
    <t>Retail (non-mall)</t>
  </si>
  <si>
    <t>Food Sales</t>
  </si>
  <si>
    <t>Retail (mall)</t>
  </si>
  <si>
    <t>Service</t>
  </si>
  <si>
    <t>Office</t>
  </si>
  <si>
    <t>Public Assembly</t>
  </si>
  <si>
    <t>Pipeline transportation</t>
  </si>
  <si>
    <t>Outpatient Health Care</t>
  </si>
  <si>
    <t>Inpatient Health Care</t>
  </si>
  <si>
    <t>Lodging</t>
  </si>
  <si>
    <t>Food Service</t>
  </si>
  <si>
    <t>Religious Worship</t>
  </si>
  <si>
    <t>Private Households</t>
  </si>
  <si>
    <t>Public Order/ Safety</t>
  </si>
  <si>
    <t xml:space="preserve">Above data is from Massachusetts Executive office of Labor and Workforce Development (EOLWD) Employment and Wages (ES-202) data. North American Industry Classification System (NAICS) codes and titles were matched to "principal business activities" of buildings as defined by the U.S. Energy Information Administration (EIA).  </t>
  </si>
  <si>
    <t>Table 7. Massachusetts Electricity Transmission &amp; Distribution Grid Loss Factor</t>
  </si>
  <si>
    <t>Total Disposition Excluding Direct Use (MWh)</t>
  </si>
  <si>
    <t>Grid Loss Factor (%)</t>
  </si>
  <si>
    <t>A Massachusetts-specific electricity transmission and distribution grid loss factor was calculated per U.S. Energy Information Administration instructions: "To calculate T&amp;D losses as a percentage, divide estimated losses by the result of total disposition minus direct use. Direct use electricity is the electricity generated mainly at non-utility facilities and that is not put onto the electricity transmission and distribution grid, and therefore direct use electricity does not contribute to T&amp;D losses." This data is provided by EIA in Massachusetts Table 10: Supply and Disposition of Electricity.</t>
  </si>
  <si>
    <t>Table 8. Electricity Transmission &amp; Distribution Losses</t>
  </si>
  <si>
    <t>GPC Subsector</t>
  </si>
  <si>
    <t>Total Electricity Consumption (kWh)</t>
  </si>
  <si>
    <t>Total Elec Grid Loss (kWh)</t>
  </si>
  <si>
    <t>Electricity T&amp;D CH4 Emissions (MT CH4)</t>
  </si>
  <si>
    <t>Electricity T&amp;D CO2 Emissions (MT CO2)</t>
  </si>
  <si>
    <t>Electricity T&amp;D N2O Emissions (MT N2O)</t>
  </si>
  <si>
    <t>Comm./Inst./Manu. Buildings</t>
  </si>
  <si>
    <t>Table 9. Fugitive Emissions from Natural Gas Distribution System Losses</t>
  </si>
  <si>
    <t>Est. Annual Loss Rates from Natural Gas from Transmission, Distribution and End Use (%)</t>
  </si>
  <si>
    <t>Total Nat. Gas Distribution Losses (Therms)</t>
  </si>
  <si>
    <t>Natural Gas Distribution Losses CH4 Emissions 
(MT CH4)</t>
  </si>
  <si>
    <t>Natural Gas Distribution Losses CO2 Emissions 
(MT CO2)</t>
  </si>
  <si>
    <r>
      <t xml:space="preserve">Estimated natural gas loss rates from a study by Sargent et al., 2021 titled "Majority of US urban natural gas emissions unaccounted for in inventories". The study found that 2.5% </t>
    </r>
    <r>
      <rPr>
        <sz val="10"/>
        <rFont val="Aptos Narrow"/>
        <family val="2"/>
      </rPr>
      <t>±</t>
    </r>
    <r>
      <rPr>
        <sz val="10"/>
        <rFont val="Arial"/>
        <family val="2"/>
      </rPr>
      <t xml:space="preserve"> 0.5% of the gas entering the urban region is lost during transmission and distribution.
</t>
    </r>
  </si>
  <si>
    <t>PNAS Article</t>
  </si>
  <si>
    <t>Table 10. Allocating Electric Vehicle Electricity Consumption to Building Subsectors</t>
  </si>
  <si>
    <t>Vehicle Type</t>
  </si>
  <si>
    <t>Electricity Consumption per Year (kWh)</t>
  </si>
  <si>
    <t>Percent of Electricity Consumption Allocated to "Residential (Res. Data)" Subsector</t>
  </si>
  <si>
    <t>Percent of Electricity Consumption Allocated to "Commercial" Subsector</t>
  </si>
  <si>
    <t>Electricity Consumption Allocated to Residential Buildings Subsector per Year (kWh)</t>
  </si>
  <si>
    <t>Electricity Consumption Allocated to Comm./Inst./Manu. Buildings Subsector per Year (kWh)</t>
  </si>
  <si>
    <t>All Vehicles</t>
  </si>
  <si>
    <t xml:space="preserve">Percent of passenger vehicle electricity consumption attributable to the Residential Subsector based on data from the Department of Energy and National Renewable Energy Lab (NREL) indicates 80% of electric vehicle charging occurs at home. It was assumed that the remainder of passenger vehicle charging and all of commercial vehicle charging occurs at buildings in the Commercial &amp; Institutional Buildings &amp; Manufacturing Industries Subsector. </t>
  </si>
  <si>
    <t>NREL Source</t>
  </si>
  <si>
    <t>Stationary Energy: Community-wide Off-road Energy &amp; Emissions</t>
  </si>
  <si>
    <t>C&amp;I Buildings + Manuf. Industries &amp; Const.</t>
  </si>
  <si>
    <t>The method for estimating emissions from off-road emissions sources uses the Motor Vehicle Emission Simulator (MOVES) v4.0 NONROAD tool. This is a publicly available EPA emission modeling system that estimates emissions for mobile non-road sources at the national and county level for criteria air pollutants, greenhouse gases, and air toxics. Proportional emissions data was extracted from the county-level data through the most applicable ratios available.</t>
  </si>
  <si>
    <t>Table 1: Summary of Off-road Emissions in County and City/Town by Equipment Type Using Allocation Methodology</t>
  </si>
  <si>
    <t>County Off-road Transportation Emissions</t>
  </si>
  <si>
    <t>Allocation of County-Level Emissions to City/Town</t>
  </si>
  <si>
    <t>City/Town Off-road Emissions</t>
  </si>
  <si>
    <t>CO2 Emissions (kg)</t>
  </si>
  <si>
    <t>CH4 Emissions (kg)</t>
  </si>
  <si>
    <t>CO2 Emissions (MT)</t>
  </si>
  <si>
    <t>CH4 Emissions (MT)</t>
  </si>
  <si>
    <t>County-Level Emissions Allocated to City/Town By:</t>
  </si>
  <si>
    <t xml:space="preserve"> County Allocation Category Count</t>
  </si>
  <si>
    <t>City/Town Allocation Category Count</t>
  </si>
  <si>
    <t>Percent of County Allocation Category in City/Town</t>
  </si>
  <si>
    <t>Off-road CH4 Emissions 
(MT CH4)</t>
  </si>
  <si>
    <t>Off-road CO2 Emissions 
(MT CO2)</t>
  </si>
  <si>
    <t>Industrial Equipment</t>
  </si>
  <si>
    <t>Manufacturing Jobs</t>
  </si>
  <si>
    <t>Manufacturing Industries</t>
  </si>
  <si>
    <t>Lawn and Garden Equipment</t>
  </si>
  <si>
    <t>Square Feet of Landscaped Area</t>
  </si>
  <si>
    <t>Comm. &amp; Inst. Buildings</t>
  </si>
  <si>
    <t>Light Commercial Equipment</t>
  </si>
  <si>
    <t>All Sectors Jobs Excl. Manufacturing</t>
  </si>
  <si>
    <t>Construction Equipment</t>
  </si>
  <si>
    <t>Square Feet of Construction</t>
  </si>
  <si>
    <t>Off-road Emissions Attributable to Manufacturing Industries Subsector:</t>
  </si>
  <si>
    <t>Off-road Emissions Attributable to Commercial &amp; Institutional Buildings Subsector:</t>
  </si>
  <si>
    <t>Off-road Emissions Attributable to Construction Subsector:</t>
  </si>
  <si>
    <t>All Off-Road Emission Sources</t>
  </si>
  <si>
    <t xml:space="preserve">County-level data on CO2 and CH4 emissions from industrial equipment, lawn and garden equipment and light commercial equipment is from the EPA Motor Vehicle Emission Simulator (MOVES Model). </t>
  </si>
  <si>
    <t>EPA Source</t>
  </si>
  <si>
    <t>Stationary Energy: Energy Industries</t>
  </si>
  <si>
    <t>Subsector:</t>
  </si>
  <si>
    <t xml:space="preserve">Data on emissions generation by the energy industry for each community was provided by the EPA's Greenhouse Gas Reporting Program (GHGRP). All facilities included in the database , excluding landfills that do not generate electricity, are included. Emissions from Energy Industries (power plants) are part of the Stationary Energy Sector and fall into one of two categories. In both instances, the emissions in the below tables are provided for informational purposes only. 
Category 1)  If the electricity generated from these facilities is consumed direcltly within the city (e.g. co-generation facility at large business), the emissions from this power plant should be captured under BASIC/BASIC+ GPC reporting guidelines. The natural gas consumption and associated emissions requried to generate electricity at these power plants is captured in the Mass Save energy data on the "Stationary Energy - Buildings" tab and included in the total reported emissions. Therefore, adding the below Energy Industries emissions to the community total would consitute double counting of emissions. 
Category 2) If the electricity generated from these facilities is sent to the regional electricity grid (e.g. large coal power plant), the emissions from this power plant should not be caputred under BASIC/BASIC+ GPC reporting guidelines. </t>
  </si>
  <si>
    <t>Table 1. Energy Industries Emissions Summary</t>
  </si>
  <si>
    <t>Town/City</t>
  </si>
  <si>
    <t>Energy Industry Non-biogenic CO2 Emissions (MT CO2)</t>
  </si>
  <si>
    <t>Table 2. Energy Industries Emissions by Facility in Massachusetts</t>
  </si>
  <si>
    <t>Facility Id</t>
  </si>
  <si>
    <t>Facility Name</t>
  </si>
  <si>
    <t>City</t>
  </si>
  <si>
    <t>Address</t>
  </si>
  <si>
    <t>Non-biogenic CO2 Emissions (MT CO2/year)</t>
  </si>
  <si>
    <t>SPECIALTY MINERALS</t>
  </si>
  <si>
    <t>ADAMS</t>
  </si>
  <si>
    <t>260 COLUMBIA STREET</t>
  </si>
  <si>
    <t>Berkshire Power</t>
  </si>
  <si>
    <t>AGAWAM</t>
  </si>
  <si>
    <t>36 MOYLAN LANE</t>
  </si>
  <si>
    <t>COMMUNITY ECO SPRINGFIELD LLC</t>
  </si>
  <si>
    <t>188 M ST</t>
  </si>
  <si>
    <t>TGP Station 261 Agawam</t>
  </si>
  <si>
    <t>1615 Suffield St</t>
  </si>
  <si>
    <t>UMASS PHYSICAL PLANT BUILDING</t>
  </si>
  <si>
    <t>AMHERST</t>
  </si>
  <si>
    <t>360 CAMPUS CENTER WAY</t>
  </si>
  <si>
    <t>Pfizer</t>
  </si>
  <si>
    <t>ANDOVER</t>
  </si>
  <si>
    <t>1 BURTT RD.</t>
  </si>
  <si>
    <t>BELLINGHAM</t>
  </si>
  <si>
    <t>92 DEPOT ST</t>
  </si>
  <si>
    <t>Bellingham Power Generation LLC</t>
  </si>
  <si>
    <t>155 MAPLE ST</t>
  </si>
  <si>
    <t>Blackstone Power Generation LLC</t>
  </si>
  <si>
    <t>BLACKSTONE</t>
  </si>
  <si>
    <t>204 ELM ST</t>
  </si>
  <si>
    <t>Boston University</t>
  </si>
  <si>
    <t>120 Ashford Street</t>
  </si>
  <si>
    <t>GILLETTE CO</t>
  </si>
  <si>
    <t>BOSTON</t>
  </si>
  <si>
    <t>1 GILLETTE PARK</t>
  </si>
  <si>
    <t>Kneeland Station</t>
  </si>
  <si>
    <t>165 Kneeland St.</t>
  </si>
  <si>
    <t>MEDICAL AREA TOTAL ENERGY PLANT</t>
  </si>
  <si>
    <t>474 BROOKLINE AVE</t>
  </si>
  <si>
    <t>NORTHEASTERN UNIVERSITY</t>
  </si>
  <si>
    <t>360 HUNTINGTON AVENUE</t>
  </si>
  <si>
    <t>Potter</t>
  </si>
  <si>
    <t>BRAINTREE</t>
  </si>
  <si>
    <t>150 POTTER ROAD</t>
  </si>
  <si>
    <t>BIOGEN INC</t>
  </si>
  <si>
    <t>CAMBRIDGE</t>
  </si>
  <si>
    <t>225 Binney Street</t>
  </si>
  <si>
    <t>Kendall Green Energy</t>
  </si>
  <si>
    <t>265 FIRST ST</t>
  </si>
  <si>
    <t>MIT Central Utility Plant</t>
  </si>
  <si>
    <t>59 VASSAR ST</t>
  </si>
  <si>
    <t>The President and Fellows of Harvard University (Cambridge Allston Blackstone)</t>
  </si>
  <si>
    <t>46 Blackstone Street</t>
  </si>
  <si>
    <t>Mystic</t>
  </si>
  <si>
    <t>CHARLESTOWN</t>
  </si>
  <si>
    <t>173 ALFORD ST</t>
  </si>
  <si>
    <t>Millennium Power</t>
  </si>
  <si>
    <t>CHARLTON</t>
  </si>
  <si>
    <t>10 SHERWOOD LANE</t>
  </si>
  <si>
    <t>TGP Station 264 Charlton</t>
  </si>
  <si>
    <t>196 Carpenter Hill Rd</t>
  </si>
  <si>
    <t>Dartmouth Power</t>
  </si>
  <si>
    <t>DARTMOUTH</t>
  </si>
  <si>
    <t>1 ENERGY RD.</t>
  </si>
  <si>
    <t>DIGHTON</t>
  </si>
  <si>
    <t>1450 SOMERSET AVE</t>
  </si>
  <si>
    <t>MASSPORT LOGAN AIRPORT</t>
  </si>
  <si>
    <t>EAST BOSTON</t>
  </si>
  <si>
    <t>ONE HARBORSIDE DRIVE</t>
  </si>
  <si>
    <t>ERVING PAPER MILLS INC</t>
  </si>
  <si>
    <t>ERVING</t>
  </si>
  <si>
    <t>97 EAST MAIN STREET</t>
  </si>
  <si>
    <t>DISTRIGAS OF MASSACHUSETTS LLC</t>
  </si>
  <si>
    <t>EVERETT</t>
  </si>
  <si>
    <t>18 ROVER ST</t>
  </si>
  <si>
    <t>NEWARK AMERICA</t>
  </si>
  <si>
    <t>FITCHBURG</t>
  </si>
  <si>
    <t>100 NEWARK WAY</t>
  </si>
  <si>
    <t>U S AIR FORCE HANSCOM AFB</t>
  </si>
  <si>
    <t>HANSCOM AFB</t>
  </si>
  <si>
    <t>66 ABG/CE, 120 Grenier Street</t>
  </si>
  <si>
    <t>COVANTA HAVERHILL INC</t>
  </si>
  <si>
    <t>HAVERHILL</t>
  </si>
  <si>
    <t>100 RECOVERY WAY</t>
  </si>
  <si>
    <t>MASSPOWER</t>
  </si>
  <si>
    <t>INDIAN ORCHARD</t>
  </si>
  <si>
    <t>750 WORCESTER ST</t>
  </si>
  <si>
    <t>Stony Brook</t>
  </si>
  <si>
    <t>LUDLOW</t>
  </si>
  <si>
    <t>327 MOODY ST</t>
  </si>
  <si>
    <t>General Electric Aviation</t>
  </si>
  <si>
    <t>LYNN</t>
  </si>
  <si>
    <t>1000 WESTERN AVE</t>
  </si>
  <si>
    <t>Medway Station</t>
  </si>
  <si>
    <t>MEDWAY</t>
  </si>
  <si>
    <t>9 SUMMER ST</t>
  </si>
  <si>
    <t>Milford Power, LLC</t>
  </si>
  <si>
    <t>MILFORD</t>
  </si>
  <si>
    <t>108 NATIONAL ST</t>
  </si>
  <si>
    <t>WHEELABRATOR MILLBURY INC</t>
  </si>
  <si>
    <t>MILLBURY</t>
  </si>
  <si>
    <t>331 SOUTHWEST CUTOFF</t>
  </si>
  <si>
    <t>WHEELABRATOR NORTH ANDOVER INC.</t>
  </si>
  <si>
    <t>NORTH ANDOVER</t>
  </si>
  <si>
    <t>285 HOLT ROAD</t>
  </si>
  <si>
    <t>Wyman-Gordon Company</t>
  </si>
  <si>
    <t>North Grafton</t>
  </si>
  <si>
    <t>244 Worcester Street</t>
  </si>
  <si>
    <t>Rousselot Peabody, Inc.</t>
  </si>
  <si>
    <t>PEABODY</t>
  </si>
  <si>
    <t>227 WASHINGTON ST.</t>
  </si>
  <si>
    <t>COMMUNITY ECO PITTSFIELD LLC</t>
  </si>
  <si>
    <t>PITTSFIELD</t>
  </si>
  <si>
    <t>500 HUBBARD AVENUE</t>
  </si>
  <si>
    <t>Pittsfield Generating</t>
  </si>
  <si>
    <t>235 MERRILL ROAD</t>
  </si>
  <si>
    <t>SEMASS PARTNERSHIP RESOURCE RECOVERY FACILITY</t>
  </si>
  <si>
    <t>ROCHESTER</t>
  </si>
  <si>
    <t>141 CRANBERRY HIGHWAY ROUTE 28</t>
  </si>
  <si>
    <t>Salem Harbor Station NGCC</t>
  </si>
  <si>
    <t>24 Fort Ave</t>
  </si>
  <si>
    <t>Canal Station</t>
  </si>
  <si>
    <t>SANDWICH</t>
  </si>
  <si>
    <t>9 FREEZER ROAD</t>
  </si>
  <si>
    <t>Wheelabrator Saugus Inc.</t>
  </si>
  <si>
    <t>SAUGUS</t>
  </si>
  <si>
    <t>100 SALEM TURNPIKE</t>
  </si>
  <si>
    <t>SOLUTIA INC - INDIAN ORCHARD PLANT</t>
  </si>
  <si>
    <t>SPRINGFIELD</t>
  </si>
  <si>
    <t>730 WORCESTER STREET</t>
  </si>
  <si>
    <t>Cleary Flood</t>
  </si>
  <si>
    <t>TAUNTON</t>
  </si>
  <si>
    <t>1314 SOMERSET AVE</t>
  </si>
  <si>
    <t>WELLESLEY COLLEGE</t>
  </si>
  <si>
    <t>WELLESLEY</t>
  </si>
  <si>
    <t>106 CENTRAL ST</t>
  </si>
  <si>
    <t>Fore River Energy Center</t>
  </si>
  <si>
    <t>WEYMOUTH</t>
  </si>
  <si>
    <t>9 BRIDGE ST</t>
  </si>
  <si>
    <t>Analog Devices Inc</t>
  </si>
  <si>
    <t>Willmington</t>
  </si>
  <si>
    <t>One Analog Way</t>
  </si>
  <si>
    <t>Analog Devices, Inc./ Wilmington Manufacturing</t>
  </si>
  <si>
    <t>1 Analog Way, MS-424</t>
  </si>
  <si>
    <t>Skyworks Solutions, Inc.</t>
  </si>
  <si>
    <t>20 Sylvan Road</t>
  </si>
  <si>
    <t>SAINT-GOBAIN ABRASIVES and SAINT-GOBAIN CERAMICS &amp; PLASTICS, INC.</t>
  </si>
  <si>
    <t>WORCESTER</t>
  </si>
  <si>
    <t>1 NEW BOND STREET</t>
  </si>
  <si>
    <t>UMASS MEDICAL SCHOOL</t>
  </si>
  <si>
    <t>55 LAKE AVE NORTH</t>
  </si>
  <si>
    <t xml:space="preserve">The above data is from the EPA's Greenhouse Gas Reporting Program (GHGRP) "Summary GHG Data 2022". Data was pulled from the "Direct Emitters" tab. All facilities in Massachusetts, excluding landfills that do not generate electricity, are included in the above table. </t>
  </si>
  <si>
    <t>EPA GHGRP Source</t>
  </si>
  <si>
    <t>Transportation: Community-wide Energy &amp; Emissions Summary</t>
  </si>
  <si>
    <t>All Transportation Subsectors</t>
  </si>
  <si>
    <t xml:space="preserve">This worksheet provides a summary of energy consumption and emissions in the Transportation Sector. On-road transportation emissions are based on VMT estimates for vehicles registered in a community according to the Massachusetts Vehicle Census (MAVC). This approach is compliant with the GPC's "resident activity method" for estimating on-road VMT. The MAVC contains data on the fuel type required for each vehicle, the location(s) of the vehicle's registration, and the annual miles travelled by the vehicle. For vehicles that change registration location during the year, their VMT is assigned proportionally to each location based on the number of days in the year that the vehicle was registered in that location. On-road public transportation (i.e. bus, trackless trolley) fuel consumption and emissions attributable to an individual community are calculated using the frequency-weighted route distance in the community, the total system-wide frequency-weighted route distance and the total system-wide fuel consumption. See the "Transportation - On Road" tab for more details. Rail transportation emissions were also accounted for using a similar methodology for on-road public transportation. See the "Transportation-Rail" tab for more details. Emission factors are explained on the "Emission Factors" tab. </t>
  </si>
  <si>
    <t>Table 1: Summary of On-road and Rail Transit Emissions by Fuel Type</t>
  </si>
  <si>
    <t>Fuel Consumption (gal)</t>
  </si>
  <si>
    <t>Fuel Consumption (MMBTU)</t>
  </si>
  <si>
    <t>CH4 Emissions (MT CH4)</t>
  </si>
  <si>
    <t>CO2 Emissions (MT CO2)</t>
  </si>
  <si>
    <t>N2O Emissions (MT N2O)</t>
  </si>
  <si>
    <t>Electricity (T&amp;D Losses)</t>
  </si>
  <si>
    <t>All On-road Transportation:</t>
  </si>
  <si>
    <t>Rail</t>
  </si>
  <si>
    <t>All Rail Transportation:</t>
  </si>
  <si>
    <t>All Transportation:</t>
  </si>
  <si>
    <t>Transportation: Community-wide On-road Energy &amp; Emissions</t>
  </si>
  <si>
    <t>Private vehicle on-road transportation emissions were estimated using the GPC's resident activity method. This methodology uses municipality-specific data on annual distance travelled, fuel type and fuel efficiency from the Massachusetts Vehicle Census (MAVC). On-road public transportation, including buses and trackless trolleys, was also accounted for utilizing data on distance travelled, route frequency, and energy consumption provided by the MBTA. The MBTA provided data on annual fuel use by mode and fuel type and annual vehicle miles traveled by mode. The MBTA conducts its analysis based on fiscal year (July 1-June30), so calendar year estimates for 2022 are calculated as 50% of the value for FY22 and 50% of the value of FY23.  On-road public transportation for buses operated by other Regional Transit Authorities (RTAs) may be accounted for in Table 7.</t>
  </si>
  <si>
    <t>Table 1: Summary of On-road Energy Use and Emissions by Fuel Type</t>
  </si>
  <si>
    <t>Total N2O Emissions 
(MT N2O</t>
  </si>
  <si>
    <t>All On-Road Transit:</t>
  </si>
  <si>
    <t xml:space="preserve">The above table assumes that all fuel consumed by "flex-fuel" vehicles is gasoline, as opposed to E-85, due to the lack of E-85 fueling stations in the region. Table includes municipal vehicle fuel use. </t>
  </si>
  <si>
    <t>Table 2: Summary of Private Vehicle Miles Travelled, Fuel Consumption, Efficiency, and Emissions by Fuel Type</t>
  </si>
  <si>
    <t>Total Annual Vehicle Miles Travelled (VMT)</t>
  </si>
  <si>
    <t>Fuel Consumption per Year (gal)</t>
  </si>
  <si>
    <t>Average Fuel Efficiency (MPG)</t>
  </si>
  <si>
    <t>Average Fuel Efficiency (kWh/mile)</t>
  </si>
  <si>
    <t>CH4 Emissions 
(MT CH4)</t>
  </si>
  <si>
    <t>CO2 Emissions 
(MT CO2)</t>
  </si>
  <si>
    <t>N2O Emissions 
(MT N2O)</t>
  </si>
  <si>
    <t>CO2e Emissions
(MT CO2e)</t>
  </si>
  <si>
    <t>CO2e Emissions / Gallon
(MT CO2e / Gallon)</t>
  </si>
  <si>
    <t>CO2e Emissions / kWh
(MT CO2e / kWh)</t>
  </si>
  <si>
    <t>Electricity (Including T&amp;D)</t>
  </si>
  <si>
    <t>Gasoline includes the following Vehicle Fuel Types: Gasoline, FlexFuel, Hybrid Electric Vehicle, Plug-In Hybrid Electric Vehicle, Compressed Natural Gas, Propane, Hydrogen Fuel Cell, Other.</t>
  </si>
  <si>
    <t>Table 3: Summary of Private On-road Passenger, Commercial, Municipal, and State Vehicles VMT, Fuel Consumption, and Emissions by Fuel Type</t>
  </si>
  <si>
    <t>Vehicle Fuel Type</t>
  </si>
  <si>
    <t>Passenger and Commercial Vehicles</t>
  </si>
  <si>
    <t>Data on the annual distance travelled and fuel consumption for all vehicles, segmented by fuel type and ownership type, was provided by the Metropolitan Area Planning Council (MAPC) through the Massachusetts Vehicle Census (MAVC) for all vehicles garaged in city/town. The above table assumes that all fuel consumed by "flex-fuel" vehicles is gasoline, as opposed to E-85, due to the lack of E-85 fueling stations in city/town and the surrounding region. MAVC reports the Fuel Consumper per Year for the following vehicle fuel types as equivalent gallons of gasoline: Gasoline, Hybrid Electric Vehicle, Plug-In Hybrid Electric Vehicle, Compressed Natural Gas, Propane, Hydrogen Fuel Cell, and Other. Thus gasoline emissions factors are used to calculate the emissions for these vehicle fuel types.</t>
  </si>
  <si>
    <t>Table 4: Private On-road Passenger Vehicles VMT, Fuel Consumption, and Emissions by Fuel Type</t>
  </si>
  <si>
    <t>Passenger Vehicles: Vehicle Fuel Type</t>
  </si>
  <si>
    <t>Total Annual Vehicle Miles Traveled (VMT)</t>
  </si>
  <si>
    <t>Average Fuel Efficiency (kWh/Mile)</t>
  </si>
  <si>
    <t>CO2e Emissions (MT CO2e)</t>
  </si>
  <si>
    <t>nodata</t>
  </si>
  <si>
    <t>Table 5: Private On-road Commercial Vehicles VMT, Fuel Consumption, and Emissions by Fuel Type</t>
  </si>
  <si>
    <t>Commercial Vehicles: Vehicle Fuel Type</t>
  </si>
  <si>
    <t>Table 5a: Municipal On-Road Commercial Vehicles Fuel Consumption, and Emissions by Fuel Type</t>
  </si>
  <si>
    <t>Municipal Vehicles: Vehicle Fuel Type</t>
  </si>
  <si>
    <t>Table 5b: State On-Road Commercial Vehicles Fuel Consumption, and Emissions by Fuel Type</t>
  </si>
  <si>
    <t>State Vehicles: Vehicle Fuel Type</t>
  </si>
  <si>
    <t>Table 6: Private On-road Electric Vehicles Fuel Efficiency</t>
  </si>
  <si>
    <t>Data Source</t>
  </si>
  <si>
    <t>FuelEconomy.Gov</t>
  </si>
  <si>
    <t>Average of All Vehicles:</t>
  </si>
  <si>
    <t>The Massachusetts Vehicle Census does not provide emissions rates or fuel efficiencies for electric vehicles. In order to estimate fuel efficiency of electric vehicles, data on fuel efficiency from FuelEconomy.gov for the top seven selling electric vehicles of 2022 was used. The top sevevn selling electric vehicles were identified via data from the MOR-EV Program Statistics, which reports the number of EV rebates distributed by make, model, and model year.</t>
  </si>
  <si>
    <t>Table 7: Public Transit On-road Route Distance, Fuel Consumption &amp; Emissions by Mode</t>
  </si>
  <si>
    <t>Allocating MBTA Fuel Use to City/Town</t>
  </si>
  <si>
    <t>Diesel Energy Use &amp; Emissions</t>
  </si>
  <si>
    <t>CNG Energy Use &amp; Emissions</t>
  </si>
  <si>
    <t>Electricity Energy Use &amp; Emissions</t>
  </si>
  <si>
    <r>
      <t>MBTA Frequency-weighted Route Distance (miles/year)</t>
    </r>
    <r>
      <rPr>
        <b/>
        <sz val="12"/>
        <color theme="0"/>
        <rFont val="Arial"/>
        <family val="2"/>
      </rPr>
      <t>*</t>
    </r>
  </si>
  <si>
    <r>
      <t>City/Town Frequency-weighted Route Distance (miles/year)</t>
    </r>
    <r>
      <rPr>
        <b/>
        <sz val="12"/>
        <color theme="0"/>
        <rFont val="Arial"/>
        <family val="2"/>
      </rPr>
      <t>*</t>
    </r>
  </si>
  <si>
    <t>Portion of Total  MBTA Energy Use Attributable to Town/City</t>
  </si>
  <si>
    <t>Line Annual Diesel Consumption (gal/year)</t>
  </si>
  <si>
    <t>City/Town Annual Diesel Consumption (gal/year)</t>
  </si>
  <si>
    <t>Diesel CH4 Emissions 
(MT CH4)</t>
  </si>
  <si>
    <t>Diesel CO2 Emissions 
(MT CO2)</t>
  </si>
  <si>
    <t>Diesel  N2O Emissions 
(MT N2O)</t>
  </si>
  <si>
    <t>Diesel CO2e Emissions (MT CO2e)</t>
  </si>
  <si>
    <t>City/Town CNG Consumption (MMBTU/year)</t>
  </si>
  <si>
    <t>CNG CO2 Emissions (MT CO2)</t>
  </si>
  <si>
    <t>CNG CO2e Emissions (MT CO2e)</t>
  </si>
  <si>
    <t>Line Annual Electricity Consumption (MWh/year)</t>
  </si>
  <si>
    <t>System Annual Electricity Consumption (kWh/year)</t>
  </si>
  <si>
    <t>City/Town Electricity Consumption (kWh/year)**</t>
  </si>
  <si>
    <t>Silver Line</t>
  </si>
  <si>
    <r>
      <rPr>
        <b/>
        <sz val="12"/>
        <rFont val="Arial"/>
        <family val="2"/>
      </rPr>
      <t>* =</t>
    </r>
    <r>
      <rPr>
        <sz val="10"/>
        <rFont val="Arial"/>
        <family val="2"/>
      </rPr>
      <t xml:space="preserve"> </t>
    </r>
    <r>
      <rPr>
        <sz val="9"/>
        <rFont val="Arial"/>
        <family val="2"/>
      </rPr>
      <t xml:space="preserve">MBTA and City/Town Frequency-weighted Route Distance is estimated by MAPC based on GIS mapping information and route schedules. Above analysis assumes 50% of silver line buses are battery electric and 50% are diesel hybrid.  </t>
    </r>
  </si>
  <si>
    <t>Table 9: Public &amp; Private Transit On-road Electricity Transmission &amp; Distribution Losses</t>
  </si>
  <si>
    <t>Transit Mode</t>
  </si>
  <si>
    <t xml:space="preserve"> Electricity Consumption (kWh)</t>
  </si>
  <si>
    <r>
      <t>Grid Loss Factor (%)</t>
    </r>
    <r>
      <rPr>
        <b/>
        <sz val="12"/>
        <color theme="0"/>
        <rFont val="Arial"/>
        <family val="2"/>
      </rPr>
      <t>*</t>
    </r>
  </si>
  <si>
    <t>Private Passenger Electric Vehicles</t>
  </si>
  <si>
    <t>Private Commercial Electric Vehicles</t>
  </si>
  <si>
    <t>All On-road Transit**</t>
  </si>
  <si>
    <r>
      <rPr>
        <b/>
        <sz val="12"/>
        <rFont val="Arial"/>
        <family val="2"/>
      </rPr>
      <t>* =</t>
    </r>
    <r>
      <rPr>
        <b/>
        <sz val="10"/>
        <rFont val="Arial"/>
        <family val="2"/>
      </rPr>
      <t xml:space="preserve"> </t>
    </r>
    <r>
      <rPr>
        <sz val="9"/>
        <rFont val="Arial"/>
        <family val="2"/>
      </rPr>
      <t xml:space="preserve">The grid loss factor used to estimate emissions from Electric T&amp;D losses is applied to all electricity consumption, including MBTA consumption estimates. Please note that the EIA grid loss factor may not be representative of actual losses from the MBTA distribution system. The Grid Loss Factor is calculated using data provided via the link to the right.   
** The total does not include the Silver Line or Trackless Trolley as those are included in the State Vehicles.     </t>
    </r>
    <r>
      <rPr>
        <sz val="10"/>
        <rFont val="Arial"/>
        <family val="2"/>
      </rPr>
      <t xml:space="preserve">                         </t>
    </r>
  </si>
  <si>
    <t>EIA Massachusetts Electricity Profile</t>
  </si>
  <si>
    <t>Transportation: Rail Energy &amp; Emissions</t>
  </si>
  <si>
    <t xml:space="preserve">Emissions from rail public transportation services include regional rail (commuter rail) and urban rail (heavy and light rail). This sector does NOT include commercial freight rail and long-distance passenger rail (i.e. Amtrak). All rail data on frequency-weighted route miles and fuel consumption was provided by the MBTA. The MBTA provided data on annual fuel use by mode and fuel type and annual vehicle miles traveled by mode. The MBTA conducts its analysis based on fiscal year (July 1-June30), so calendar year estimates for 2022 are calculated as 50% of the value for FY22 and 50% of the value of FY23. </t>
  </si>
  <si>
    <t>Table 1: Rail Transit Energy Consumption &amp; Emissions by Fuel Type</t>
  </si>
  <si>
    <t>Fuel Consumption (Gallons)</t>
  </si>
  <si>
    <t>All Rail Transit:</t>
  </si>
  <si>
    <t>Table 2: Rail Route Distance, Energy Consumption &amp; Emissions by Mode</t>
  </si>
  <si>
    <t>MBTA Frequency-weighted Route Distance (miles/year)*</t>
  </si>
  <si>
    <t>City/Town Frequency-weighted Route Distance (miles/year)*</t>
  </si>
  <si>
    <t>Portion of Total  MBTA Energy Use Attributable to City/Town</t>
  </si>
  <si>
    <t>Line Annual Diesel Consumption (gallons/year)</t>
  </si>
  <si>
    <t>City/Town Annual Diesel Consumption (gallons/year)</t>
  </si>
  <si>
    <t>City/Town Annual Diesel Emissions (MT CH4)</t>
  </si>
  <si>
    <t>City/Town Annual Diesel Emissions (MT CO2</t>
  </si>
  <si>
    <t>City/Town Annual Diesel Emissions (MT N2O)</t>
  </si>
  <si>
    <t>Line Electricity Consumption (MWh/year)</t>
  </si>
  <si>
    <t>System Electricity Consumption (kWh/year)</t>
  </si>
  <si>
    <t>City/Town Annual Electricity Emissions (MT CH4)</t>
  </si>
  <si>
    <t>City/Town Annual Electricity Emissions (MT CO2)</t>
  </si>
  <si>
    <t>City/Town Annual Electricity Emissions (MT N2O)</t>
  </si>
  <si>
    <t xml:space="preserve">All Rail Transit: </t>
  </si>
  <si>
    <t xml:space="preserve">* = MBTA and City/Town Frequency-weighted Route Distance is estimated by MAPC based on GIS mapping information and route schedules. </t>
  </si>
  <si>
    <t>Table 3. Rail Transit Electricity Transmission &amp; Distribution Losses</t>
  </si>
  <si>
    <t>Public Transit Mode</t>
  </si>
  <si>
    <r>
      <t>Grid Loss Factor (elec)</t>
    </r>
    <r>
      <rPr>
        <b/>
        <sz val="12"/>
        <color theme="0"/>
        <rFont val="Arial"/>
        <family val="2"/>
      </rPr>
      <t>*</t>
    </r>
  </si>
  <si>
    <t>Emissions (MT CH4)</t>
  </si>
  <si>
    <t>Emissions (MT CO2)</t>
  </si>
  <si>
    <t>Emissions (MT N2O)</t>
  </si>
  <si>
    <t>All Rail Transit</t>
  </si>
  <si>
    <r>
      <rPr>
        <b/>
        <sz val="12"/>
        <rFont val="Arial"/>
        <family val="2"/>
      </rPr>
      <t>* =</t>
    </r>
    <r>
      <rPr>
        <b/>
        <sz val="10"/>
        <rFont val="Arial"/>
        <family val="2"/>
      </rPr>
      <t xml:space="preserve"> </t>
    </r>
    <r>
      <rPr>
        <sz val="9"/>
        <rFont val="Arial"/>
        <family val="2"/>
      </rPr>
      <t xml:space="preserve">The grid loss factor used to estimate emissions from Electric T&amp;D losses is applied to all electricity consumption, including MBTA consumption estimates. Please note that the EIA grid loss factor may not be representative of actual losses from the MBTA distribution system. The Grid Loss Factor is calculated using data provided via the link to the right.        </t>
    </r>
    <r>
      <rPr>
        <sz val="10"/>
        <rFont val="Arial"/>
        <family val="2"/>
      </rPr>
      <t xml:space="preserve">                         </t>
    </r>
  </si>
  <si>
    <t>Summary: Community-wide Waste Emissions</t>
  </si>
  <si>
    <t>All Waste Subsectors</t>
  </si>
  <si>
    <t>This worksheet provides a summary of weight disposed of and emissions from the Waste Sector. The Waste Sector accounts for disposal of waste, biological treatment of waste, incineration of waste and wastewater. Collected waste is either sent to landfill or incinerated. Collected organic waste is either sent to a compositing facility or an anaerobic digestion facility. Wastewater is either sent to the Massachusetts Water Resources Authority (MRWA's) Wastewater Treatment Plant or treated at a local, municipal wastewater treatment plant.</t>
  </si>
  <si>
    <t>Table 1: Summary of Waste Activity Data &amp; Emissions by Subsector</t>
  </si>
  <si>
    <t>Est. Total Waste to Landfill (short tons)</t>
  </si>
  <si>
    <t>Est. Mass of Waste Incinerated (tons)</t>
  </si>
  <si>
    <t>Est. Mass of Organics Sent to Compositing Facility (tons)</t>
  </si>
  <si>
    <t>Est. Mass of Organics Sent to Anaerobic Digester (tons)</t>
  </si>
  <si>
    <r>
      <t>Wastewater Treatment and Discharge</t>
    </r>
    <r>
      <rPr>
        <b/>
        <sz val="12"/>
        <rFont val="Arial"/>
        <family val="2"/>
      </rPr>
      <t>*</t>
    </r>
  </si>
  <si>
    <t>All Waste:</t>
  </si>
  <si>
    <t>Waste: Community-wide Solid Waste Disposal</t>
  </si>
  <si>
    <t xml:space="preserve">Methane emissions associated with landfilled waste were calculated using GPC equations 8.1, 8.3 and 8.4. Equation 8.3 estimates methane emissions resulting from solid waste sent to landfill. This equation assigns emissions to a community based on the amount of waste disposed in a given year. State default values are available for the amount of waste that is incinerated versus sent to landfill and the composition of waste. These default values can be replaced with community-specific values on the "Inputs" worksheet if community-specific data is available. </t>
  </si>
  <si>
    <t>Table 1: Methane Commitment Estimate for Solid Waste Sent to Landfill (GPC Equation 8.3)</t>
  </si>
  <si>
    <t>Description of Variable</t>
  </si>
  <si>
    <t>Mass Solid Waste Sent to Landfill (MT)</t>
  </si>
  <si>
    <t>Methane Generation Potential</t>
  </si>
  <si>
    <t>Fraction of Methane Recovered at Landfill</t>
  </si>
  <si>
    <t>Oxidation Factor</t>
  </si>
  <si>
    <t>GPC Equation 8.4 Variable Corresponding Letter</t>
  </si>
  <si>
    <t>MSWx</t>
  </si>
  <si>
    <t>Lo</t>
  </si>
  <si>
    <t>frec</t>
  </si>
  <si>
    <t>OX</t>
  </si>
  <si>
    <t xml:space="preserve">In accordance with Equation 8.3:
1) The Fraction of Methane Recovered in Landfill is from the EPA's FLIGHT data. If the user knows which landfill the community's waste is sent to, the value of that landfill is used. If not, the average value of all landfills in Massachusetts is used. 
2) An Oxidation Factor (OX) of 0.1 was selected because the landfills that most cities/towns send waste to in Massachusetts are managed. </t>
  </si>
  <si>
    <t>Table 1a: Fraction of Methane Recovered at Landfills in Massachusetts</t>
  </si>
  <si>
    <t>Estimated Gas Collection System Efficiency HH3</t>
  </si>
  <si>
    <t>EPA Flight Link</t>
  </si>
  <si>
    <t>Northampton Landfill</t>
  </si>
  <si>
    <t>https://ghgdata.epa.gov/ghgp/service/html/2022?id=1002593&amp;et=undefined</t>
  </si>
  <si>
    <t>Granby Sanitary Landfill</t>
  </si>
  <si>
    <t>https://ghgdata.epa.gov/ghgp/service/html/2022?id=1007685&amp;et=undefined</t>
  </si>
  <si>
    <t>Chicopee Sanitary Landfill</t>
  </si>
  <si>
    <t>https://ghgdata.epa.gov/ghgp/service/html/2022?id=1007669&amp;et=undefined</t>
  </si>
  <si>
    <t>Martone Landfill &amp; Gas Generating Facility</t>
  </si>
  <si>
    <t>https://ghgdata.epa.gov/ghgp/service/html/2022?id=1003587&amp;et=undefined</t>
  </si>
  <si>
    <t>Southbridge Recycling &amp; Disposal Park</t>
  </si>
  <si>
    <t>https://ghgdata.epa.gov/ghgp/service/html/2022?id=1005254&amp;et=undefined</t>
  </si>
  <si>
    <t>Fitchburg Westminster Landfill Recycling Center</t>
  </si>
  <si>
    <t>https://ghgdata.epa.gov/ghgp/service/html/2022?id=1007753&amp;et=undefined</t>
  </si>
  <si>
    <t>Plainville Landfill</t>
  </si>
  <si>
    <t>https://ghgdata.epa.gov/ghgp/service/html/2022?id=1004557&amp;et=undefined</t>
  </si>
  <si>
    <t>Taunton Sanitary Landfill</t>
  </si>
  <si>
    <t>https://ghgdata.epa.gov/ghgp/service/html/2022?id=1003532&amp;et=undefined</t>
  </si>
  <si>
    <t>Carver-Marion-Wareham Landfill</t>
  </si>
  <si>
    <t>https://ghgdata.epa.gov/ghgp/service/html/2022?id=1005715&amp;et=undefined</t>
  </si>
  <si>
    <t>Middleborough Landfill</t>
  </si>
  <si>
    <t>https://ghgdata.epa.gov/ghgp/service/html/2022?id=1010391&amp;et=undefined</t>
  </si>
  <si>
    <t>Halifax Landfill</t>
  </si>
  <si>
    <t>https://ghgdata.epa.gov/ghgp/service/html/2022?id=1007550&amp;et=undefined</t>
  </si>
  <si>
    <t>Haverhill Landfill</t>
  </si>
  <si>
    <t>https://ghgdata.epa.gov/ghgp/service/html/2022?id=1005213&amp;et=undefined</t>
  </si>
  <si>
    <t>Average</t>
  </si>
  <si>
    <t>Data is from the EPA's Facility Level Information on GreenHouse gases Tool (FLIGHT). FLIGHT can be accessed at https://ghgdata.epa.gov/ghgp/main.do. Select Massachusetts, the inventory year, and filter the sector for Municipal Landfills and Industrial Landfills. The Gas Collection System Efficiency is included in the reported data for each facility.</t>
  </si>
  <si>
    <t>Table 2: Weight of Waste and Organic Waste Collected by Collection Type</t>
  </si>
  <si>
    <t>Mass of Waste Collected - Excluding Separated Organic Waste (short tons)</t>
  </si>
  <si>
    <t>Mass of Separated Organic Waste Collected (short tons)</t>
  </si>
  <si>
    <t>Mass of Waste Collected - Excluding Separated Organic Waste (MT)</t>
  </si>
  <si>
    <t>Mass of Separated Organic Waste Collected (MT)</t>
  </si>
  <si>
    <t>Community Total</t>
  </si>
  <si>
    <t>If the mass of waste collected by both Municipal and Private Haulers is unknown, a default value equal to the statewide average tons of waste per capita (including exports) is used.</t>
  </si>
  <si>
    <t>Table 3: Proportion of Massachusetts In-state Waste Disposed: Landfilled vs. Combusted by Waste Type</t>
  </si>
  <si>
    <t>Waste Category</t>
  </si>
  <si>
    <t>Percent of Total City/Town Waste Disposed In-state</t>
  </si>
  <si>
    <t>All Waste Disposed of In-state</t>
  </si>
  <si>
    <t>All Waste Disposed of 
In-state</t>
  </si>
  <si>
    <t>Landfilled Waste</t>
  </si>
  <si>
    <t>Municipal Solid Waste (MSW)</t>
  </si>
  <si>
    <t>Construction &amp; Demolition Waste (C&amp;D)</t>
  </si>
  <si>
    <t>Other Waste</t>
  </si>
  <si>
    <t>Total Landfilled Waste</t>
  </si>
  <si>
    <t>Combusted Waste</t>
  </si>
  <si>
    <t>Non-Municipal Solid Waste (MSW)</t>
  </si>
  <si>
    <t>Total Combusted Waste</t>
  </si>
  <si>
    <t>All Waste Exported</t>
  </si>
  <si>
    <t>Exported Waste</t>
  </si>
  <si>
    <t>This table assumes default State-level percent of disposed waste sent to landfill and combusted unless local data is entered on the "Inputs" tab of this workbook. Data on weight of Massachusetts waste disposed of in-state and weight of total in-state waste sent to landfill vs. combusted by waste type is from MA DEP Solid Waste Update, Table 2: Solid Waste Tonnage and Percent Change Summary.</t>
  </si>
  <si>
    <t>Table 4: Weight of Waste Sent to Landfill by Collection Type and Waste Type</t>
  </si>
  <si>
    <t>Mass of Total Waste Landfilled (short tons)</t>
  </si>
  <si>
    <t>Mass of Total Waste Landfilled  (MT)</t>
  </si>
  <si>
    <t>All Categories</t>
  </si>
  <si>
    <t>The table above estimates the amount of waste sent to landfill based on 1) The mass of waste collected (excluding separated organic waste) and 2) The calculated percent of disposed waste sent to landfills.</t>
  </si>
  <si>
    <t>Table 5: Methane Generation Potential (GPC Equation 8.4) and Degradable Organic Carbon (Equation 8.1)</t>
  </si>
  <si>
    <t>Methane Correction Factor</t>
  </si>
  <si>
    <t>Degradable Organic Carbon (tonnes C/tonnes waste)</t>
  </si>
  <si>
    <t xml:space="preserve">Fraction of Degradable Organic Carbon Degraded </t>
  </si>
  <si>
    <t>Fraction of Methane in Landfill Gas</t>
  </si>
  <si>
    <t>Stoichiometric Ratio Between Methane and Carbon</t>
  </si>
  <si>
    <t>MCF</t>
  </si>
  <si>
    <t>DOC</t>
  </si>
  <si>
    <t>DOCf</t>
  </si>
  <si>
    <t>F</t>
  </si>
  <si>
    <t>16/12</t>
  </si>
  <si>
    <t xml:space="preserve">In accordance with Equation 8.4: 
1) A value of 1.00 was input for Methane Correction Factor (MCF) since landfills waste is sent to are actively managed.
2) A default value of 0.6 was input for Fraction of Degradable Organic Carbon Degraded (DOCf).
3) A default value 0.5 was input for Fraction of Methane in Landfill Gas (F). 
4) The default fraction of 16/12 was input for Stoichiometric Ratio Between Methane and Carbon. </t>
  </si>
  <si>
    <t>Table 6: Waste Characterization Allocation by GPC Equation 8.1 Categories</t>
  </si>
  <si>
    <t>Equation 8.1 Waste Category</t>
  </si>
  <si>
    <t>Equation 8.1 Corresponding Variable</t>
  </si>
  <si>
    <t>City/Town Data: Percent of Total Disposed Waste in Category</t>
  </si>
  <si>
    <t>State Data: Percent of Total Disposed Waste in Category</t>
  </si>
  <si>
    <t>Selected Data: Percent of Total Disposed Waste in Category</t>
  </si>
  <si>
    <t>Equation 8.1 Default Carbon Content Value (tonnes C/tonnes waste)</t>
  </si>
  <si>
    <t>A</t>
  </si>
  <si>
    <t>B</t>
  </si>
  <si>
    <t>C</t>
  </si>
  <si>
    <t>D</t>
  </si>
  <si>
    <t>E</t>
  </si>
  <si>
    <r>
      <t xml:space="preserve">This table assumes default State-level composition of waste unless local data is entered on the "Inputs" tab of this workbook. See </t>
    </r>
    <r>
      <rPr>
        <u/>
        <sz val="9"/>
        <rFont val="Arial"/>
        <family val="2"/>
      </rPr>
      <t>Table 7</t>
    </r>
    <r>
      <rPr>
        <sz val="9"/>
        <rFont val="Arial"/>
        <family val="2"/>
      </rPr>
      <t xml:space="preserve"> below for a detailed explanation of how each waste type was allocated to the appropriate GPC waste category. </t>
    </r>
  </si>
  <si>
    <t>Table 7: Overall Waste Composition By Detailed Material Category Mapped to GPC Waste Categories</t>
  </si>
  <si>
    <t>Waste Category/Sub-category</t>
  </si>
  <si>
    <t>Weighted Average</t>
  </si>
  <si>
    <t xml:space="preserve">Uncoated Corrugated Cardboard/Kraft Paper </t>
  </si>
  <si>
    <t xml:space="preserve">Waxed Cardboard </t>
  </si>
  <si>
    <t xml:space="preserve">High Grade Office Paper </t>
  </si>
  <si>
    <t xml:space="preserve">Magazines/Catalogs </t>
  </si>
  <si>
    <t xml:space="preserve">Newsprint </t>
  </si>
  <si>
    <t xml:space="preserve">Other Recyclable Paper </t>
  </si>
  <si>
    <t xml:space="preserve">Compostable Paper </t>
  </si>
  <si>
    <t xml:space="preserve">Remainder/Composite Paper </t>
  </si>
  <si>
    <t>Plastic</t>
  </si>
  <si>
    <t xml:space="preserve">PET Beverage Containers (non-MA deposit containers) </t>
  </si>
  <si>
    <t>PET Containers other than Beverage Containers</t>
  </si>
  <si>
    <t xml:space="preserve">Plastic MA Deposit Beverage Containers </t>
  </si>
  <si>
    <t>HDPE Bottles, colored and natural</t>
  </si>
  <si>
    <t xml:space="preserve">Plastic Tubs and lids (HDPE, PP, etc.) </t>
  </si>
  <si>
    <t>#5 PP Bottles &amp; Containers</t>
  </si>
  <si>
    <t xml:space="preserve">Plastic Containers #3-#7 (which originally contained non-hazardous material) </t>
  </si>
  <si>
    <t>Other Plastic Bottles &amp; Containers</t>
  </si>
  <si>
    <t xml:space="preserve">Expanded Polystyrene Food Grade </t>
  </si>
  <si>
    <t>Expanded Polystyrene Non-food Grade</t>
  </si>
  <si>
    <t xml:space="preserve">Bulk Rigid Plastic Items </t>
  </si>
  <si>
    <t xml:space="preserve">Film (non-bag clean commercial and industrial packaging film) </t>
  </si>
  <si>
    <t xml:space="preserve">Grocery and other Merchandise Bags </t>
  </si>
  <si>
    <t xml:space="preserve">Other Film means plastic film  </t>
  </si>
  <si>
    <t xml:space="preserve">Remainder/Composite Plastic </t>
  </si>
  <si>
    <t>Metal</t>
  </si>
  <si>
    <t xml:space="preserve">Aluminum Beverage Containers (non-MA deposit containers) </t>
  </si>
  <si>
    <t xml:space="preserve">Aluminum MA Deposit Beverage Containers </t>
  </si>
  <si>
    <t xml:space="preserve">Tin/Steel Containers </t>
  </si>
  <si>
    <t>Other Aluminum</t>
  </si>
  <si>
    <t xml:space="preserve">Other Ferrous and non-ferrous </t>
  </si>
  <si>
    <t>White Goods</t>
  </si>
  <si>
    <t xml:space="preserve">Remainder/Composite Metal </t>
  </si>
  <si>
    <t>Glass</t>
  </si>
  <si>
    <t xml:space="preserve">Glass Beverage Containers (non-MA deposit containers) </t>
  </si>
  <si>
    <t xml:space="preserve">Other Glass Packaging Containers (non-MA deposit containers)  </t>
  </si>
  <si>
    <t xml:space="preserve">Glass MA Deposit Beverage Containers </t>
  </si>
  <si>
    <t>Remainder/Composite Glass</t>
  </si>
  <si>
    <t>Organic Materials</t>
  </si>
  <si>
    <t xml:space="preserve">Food Waste </t>
  </si>
  <si>
    <t xml:space="preserve">Branches and Stumps </t>
  </si>
  <si>
    <t xml:space="preserve">Prunings, Trimmings, Leaves and Grass </t>
  </si>
  <si>
    <t xml:space="preserve">Manures </t>
  </si>
  <si>
    <t xml:space="preserve">Remainder/Composite Organic </t>
  </si>
  <si>
    <t>Construction and Demolition (in the MSW stream)</t>
  </si>
  <si>
    <t xml:space="preserve">Asphalt Pavement, Brick, and Concrete </t>
  </si>
  <si>
    <t>Aggregates, Stone, Rock</t>
  </si>
  <si>
    <t xml:space="preserve">Wood – Treated </t>
  </si>
  <si>
    <t xml:space="preserve">Wood – Untreated </t>
  </si>
  <si>
    <t xml:space="preserve">Asphalt Roofing </t>
  </si>
  <si>
    <t xml:space="preserve">Drywall/Gypsum Board </t>
  </si>
  <si>
    <t xml:space="preserve">Carpet and Carpet Padding </t>
  </si>
  <si>
    <t xml:space="preserve">Remainder/Composite Construction and Demolition </t>
  </si>
  <si>
    <t>Household Hazardous Waste</t>
  </si>
  <si>
    <t xml:space="preserve">Ballasts, CFLs, and Other Fluorescents </t>
  </si>
  <si>
    <t xml:space="preserve">Batteries – Lead Acid </t>
  </si>
  <si>
    <t xml:space="preserve">Batteries – Other </t>
  </si>
  <si>
    <t xml:space="preserve">Paint </t>
  </si>
  <si>
    <t xml:space="preserve">Bio-Hazardous </t>
  </si>
  <si>
    <t xml:space="preserve">Vehicle and Equipment Fluids </t>
  </si>
  <si>
    <t xml:space="preserve">Empty Metal, Glass, and Plastic Containers </t>
  </si>
  <si>
    <t xml:space="preserve">Other Hazardous or Household Hazardous Waste </t>
  </si>
  <si>
    <t>Electronics</t>
  </si>
  <si>
    <t xml:space="preserve">Computer-related Electronics </t>
  </si>
  <si>
    <t>Other “brown goods”</t>
  </si>
  <si>
    <t xml:space="preserve">Televisions and Computer Monitors </t>
  </si>
  <si>
    <t>Other Materials</t>
  </si>
  <si>
    <t xml:space="preserve">Tires and other rubber </t>
  </si>
  <si>
    <t xml:space="preserve">Textiles </t>
  </si>
  <si>
    <t xml:space="preserve">Bulky Materials </t>
  </si>
  <si>
    <t>Mattresses</t>
  </si>
  <si>
    <t xml:space="preserve">Restaurant Fats, Oils and Grease </t>
  </si>
  <si>
    <t xml:space="preserve">Other Miscellaneous </t>
  </si>
  <si>
    <t xml:space="preserve">The above data is from the Massachusetts's Department of Environmental Protection (DEP) "Summary of Waste Combustor Class II Recycling Program Waste Characterization Studies (Includes 2010, 2013, 2016, 2019, and 2022 Data)". Data from the "2022 Detailed Fall &amp; Winter" tab of the workbook was used. For data that was entered as "N/A" in 2022, the 2019 Spring/Summer value was used. This data provides a weighted average composition by material category based on the amount of waste that each incineration facility burned in calendar year 2022. </t>
  </si>
  <si>
    <t>MA DEP Waste Source</t>
  </si>
  <si>
    <t>Waste: Community-wide Biological Treatment of Solid Waste</t>
  </si>
  <si>
    <t>Biological Treatment of Solid Waste</t>
  </si>
  <si>
    <t xml:space="preserve">Methane and nitrous oxide emissions associated with biological treatment of solid waste were calculated using GPC equation 8.5. Equation 8.5 estimates direct emissions resulting from two treatment types - compositing and anaerobic digestion.  State default values are available for the amount of organic waste that is composted versus anaerobically digested. These default values can be replaced with community-specific values on the "Inputs" worksheet if community-specific data is available. </t>
  </si>
  <si>
    <t>Table 1. Biologically Treated Waste by Treatment Type</t>
  </si>
  <si>
    <t>Percent of Organic Waste Sent to Compositing Facility</t>
  </si>
  <si>
    <t>Percent of Organic Waste Sent to Anaerobic Digestion Facility</t>
  </si>
  <si>
    <t xml:space="preserve">This table assumes default State-level percent of organic waste sent to compositing facility vs. anaerobic digestion facility unless local data is entered on the "Inputs" tab of this workbook. </t>
  </si>
  <si>
    <t>Table 2. Direct Emissions From Biologically Treated Solid Waste (GPC Equation 8.5)</t>
  </si>
  <si>
    <t>Biological Treatment Type</t>
  </si>
  <si>
    <t>Mass of Organic Waste Treated (kg/year)</t>
  </si>
  <si>
    <t>CH4 Emissions Factor (g CH4 / kg waste)</t>
  </si>
  <si>
    <t>N2O Emissions Factor (g N2O / kg waste)</t>
  </si>
  <si>
    <t>CH4 Emissions Excluding Methane Capture
(MT CH4)</t>
  </si>
  <si>
    <t>Percent of CH4 Recovered (%)</t>
  </si>
  <si>
    <t>CH4 Emissions Including Methane Capture
(MT CH4)</t>
  </si>
  <si>
    <t>N2O Emissions
(MT N2O)</t>
  </si>
  <si>
    <t>Compositing Facility</t>
  </si>
  <si>
    <t>Total Biologically Treated Solid Waste:</t>
  </si>
  <si>
    <t xml:space="preserve">In accordance with GPC Equation 8.5:
1) The default biological treatment emission factors from GPC Table 8.3 were used. "Wet waste" emission factors were used for both compositing and anaerobic digestion at biogas facilities. 
2) The estimated percent of CH4 recovered at compositing facilities and anerobic digestion facilities. This analysis assumes 0% methane recovery for compositing facilities and 100% methane recovery for anaerobic digestion facilities. </t>
  </si>
  <si>
    <t>MA DEP Source</t>
  </si>
  <si>
    <t>Waste: Community-wide Incineration and Open Burning</t>
  </si>
  <si>
    <t xml:space="preserve">Carbon dioxide, methane, and nitrous oxide emissions associated with incineration of solid waste were calculated using GPC equations 8.6, 8.7, and 8.8. Equation 8.6 estimates non-biogenic carbon dioxide emissions from the incineration of waste, Equation 8.7 estimates methane emissions from the incineration of waste, and Equation 8.8 estimates nitrous oxide emissions from the incineration of waste. State default values are available for the amount of waste that is incinerated versus sent to landfill. These default values can be replaced with community-specific values on the "Inputs" worksheet if community-specific data is available.  In general, the mass of incinerated waste in total and for each fraction of matter type i (paper, textiles, food, etc.) are used to determine the emissions. The quantities for CO2, CH4 and NO2 are summed, and then multiplied by the mass to calculate the total emissions from incinerated waste. 
In Massachusetts, the incinerated waste is used to generate electricity. Emissions generated as a result of incineration occurring outside of a city's boundary are considered Scope 3 emissions.  According to the GPC, waste used to generate energy is considered a stationary energy source. Stationary energy sources outside of the city's boundary are not included in the inventory. If a waste incineration power plant is located inside the city's boundary, it is accounted for the "Stationary Energy - E. Indus." worksheet. </t>
  </si>
  <si>
    <t>Table 1: Summary of Emissions From Waste Incineration</t>
  </si>
  <si>
    <t>Table 2: Waste Incineration by Collection Type</t>
  </si>
  <si>
    <t>Mass of Waste Collected (short tons)</t>
  </si>
  <si>
    <t>Percent of Collected Waste Incinerated</t>
  </si>
  <si>
    <t>Mass of Waste Incinerated (short tons)</t>
  </si>
  <si>
    <t>Table 3: Non-biogenic CO2 Emissions From Waste Incineration (GPC Equation 8.6)</t>
  </si>
  <si>
    <t>Category of Type of Waste Incinerated</t>
  </si>
  <si>
    <t>Fraction of Waste Consisting of Type i Matter</t>
  </si>
  <si>
    <t>Dry Matter Content in Type i Matter</t>
  </si>
  <si>
    <t>Fraction of Carbon in the Dry Matter of Type i Matter</t>
  </si>
  <si>
    <t>Fraction of Fossil Carbon in the Total Carbon Component of Type i Matter</t>
  </si>
  <si>
    <t>Wfi x dmi x Cfi x FCFi x Ofi</t>
  </si>
  <si>
    <t>GPC Equation 8.6 Variable Corresponding Letter</t>
  </si>
  <si>
    <t>i</t>
  </si>
  <si>
    <t xml:space="preserve">m </t>
  </si>
  <si>
    <t>WFi</t>
  </si>
  <si>
    <t>dm(i)</t>
  </si>
  <si>
    <t>CF(i)</t>
  </si>
  <si>
    <t>FCF(i)</t>
  </si>
  <si>
    <t>OF(i)</t>
  </si>
  <si>
    <t>All Incinerated Waste</t>
  </si>
  <si>
    <t>Food Waste</t>
  </si>
  <si>
    <t xml:space="preserve">All CO2  Incinerated Waste Emissions: </t>
  </si>
  <si>
    <t>In accordance with GPC Equation 8.6:
1) Defaults values for Dry Matter Content (dm) and Fraction of Carbon in the Dry Matter (CF) were pulled from 2006 IPCC Guidelines, Vol. 5, Ch. 2, Table 2.4.
2) Default values for Fraction of Fossil Carbon in the Total Carbon Component (FCF) were pulled from 2006 IPCC Guidelines, Vol. 5, Ch. 2, Table 2.5.</t>
  </si>
  <si>
    <t>2006 IPCC Guidelines, Vol. 5, Ch. 2</t>
  </si>
  <si>
    <t>3) Default Values for Oxidation Factor (OF)  were pulled from GPC Table 8.4.</t>
  </si>
  <si>
    <t>See GPC Table 8.4</t>
  </si>
  <si>
    <t>Table 4: CH4 Emissions From Waste Incineration (GPC Equation 8.7)</t>
  </si>
  <si>
    <t>Amount of Solid Waste of Type i  Incinerated (short tons)</t>
  </si>
  <si>
    <t>Aggregate CH4 Emission Factor (g CH4/ton of waste type i)</t>
  </si>
  <si>
    <t>GPC Equation 8.7 Variable Corresponding Letter</t>
  </si>
  <si>
    <t>IW(i)</t>
  </si>
  <si>
    <t>EF(i)</t>
  </si>
  <si>
    <t xml:space="preserve">All CH4 Incinerated Waste Emissions: </t>
  </si>
  <si>
    <t>In accordance with GPC equation 8.7 Aggregate CH4 Emission Factor for "Continuous Incineration: Stoker" from GPC Table 8.5 was used.</t>
  </si>
  <si>
    <t>See GPC Table 8.5</t>
  </si>
  <si>
    <t>Table 5: N2O Emissions From Waste Incineration (GPC Equation 8.8)</t>
  </si>
  <si>
    <t>Aggregate N2O Emission Factor (g N2O/ton of waste type i)</t>
  </si>
  <si>
    <t>N2O Emissions (MT)</t>
  </si>
  <si>
    <t>GPC Equation 8.8 Variable Corresponding Letter</t>
  </si>
  <si>
    <t xml:space="preserve">All N2O Incinerated Waste Emissions: </t>
  </si>
  <si>
    <t xml:space="preserve">In accordance with GPC Equation 8.8 Aggregate N2O Emission Factor (EF) for "continuous and semi-continuous incinerators" from GPC Table 8.6 was used. </t>
  </si>
  <si>
    <t>See GPC Table 8.6</t>
  </si>
  <si>
    <t>Waste: Community-wide Wastewater Treated &amp; Emissions</t>
  </si>
  <si>
    <t xml:space="preserve">The analysis of wastewater emissions follows the approach used by the Massachusetts Department of Environmental Protection (DEP) to estimate wastewater treatment emissions for communities in Massachusetts in Appendix C of the Greehouse Gas Baseline &amp; Inventory report. The data and methodology from the "Wastewater" tab of the Appendix C workbook was used to calculate the total methane and nitrous oxide emissions from  wastewater treatment plants (WWTP) and septic systems. This methodology in compliance with methodologies recommended by the GPC. 
For communities served by the Clinton, Deer Island, Greater Lawrence, Pittsfield, and Rockland wastewater treatement plants, only indirect nitrous oxide emissions from wastewater effluent is calculated. These wastewater treatment plants do not release methane because the methane is captured during an anaerobic digestion (AD) process and diverted to co-generation systems where it is used to heat buildings and generate electricity via steam turbine generators. These wastewater treatment plants are referred to as wastewater treatment plants with anaerobic digestion (WWTPs w/ AD). Emissions generated as a result of methane capture and co-generation occurring outside of a city's boundary are considered Scope 3 emissions. According to the GPC, wastewater used to generate energy is considered a stationary energy source. Stationary energy sources outside of the city's boundary are not included in the inventory. If a wastewater treatment power plant is located inside the city's boundary, it is accounted for in the "Stationary Energy - E. Indus." worksheet.
For communities served by a wastewater treatment plant without anaerobic digestion (WWTPs w/o AD), indirect nitrous oxide emissions from wastewater effluent and methane generation emissions from wastewater treatment are calculated using the methodology outlined in the Massachusetts DEP Greenhouse Gas Baseline &amp; Inventory report. Communities that are served by WWTPs w/o AD do have some methane emissions associated with wastewater treatment because methane capture and co-generation systems are not in place.
Some communities are only partially served by WWTPs, and the remainder of the population is on septic systems. For the portion of the community's population on septic systems, the methane emissions and indirect nitrous oxide emissions from wastewater effluent are calculated using the methodology outlined in the Massachusetts DEP Greenhouse Gas Baseline &amp; Inventory report.
</t>
  </si>
  <si>
    <t>Table 1: Summary of Emissions From Wastewater Treatment and Discharge</t>
  </si>
  <si>
    <t>Table 2: Population Served by WWTPs with and without Anaerobic Digestion and Population on Septic Systems</t>
  </si>
  <si>
    <t>Total Community Population:</t>
  </si>
  <si>
    <t>Percent of Community Population Served by WWTP w/ AD:</t>
  </si>
  <si>
    <t>Percent of Community Population on Septic Systems:</t>
  </si>
  <si>
    <t>Percent of Community Population Served by WWTP w/o AD:</t>
  </si>
  <si>
    <t>Community Population Served by WWTP w/ AD:</t>
  </si>
  <si>
    <t>Community Population on Septic Systems:</t>
  </si>
  <si>
    <t>Community Population Served by WWTP w/o AD:</t>
  </si>
  <si>
    <t>Table 3: CH4 Emissions from Septic</t>
  </si>
  <si>
    <t>Septic Emission Factor for wastewater treatment (EF) (kg CH4/kg BOD)</t>
  </si>
  <si>
    <t>CH4 Emissions (MT CH4):</t>
  </si>
  <si>
    <t>Table 4: CH4 Generation from Wastewater Treatment Plants w/o Anaerobic Digestion</t>
  </si>
  <si>
    <t>WWTP Emission Factor for wastewater treatment (EF) (kg CH4/kg BOD)</t>
  </si>
  <si>
    <t>Table 5: Direct N2O Emissions from all WWTPs</t>
  </si>
  <si>
    <t>WWTP N2O Process Emissions (g N2O / cap / year)</t>
  </si>
  <si>
    <t>N2O Emissions (MT N2O):</t>
  </si>
  <si>
    <t>Table 6: Indirect N2O Emissions from Wastewater Effluent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</si>
</sst>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44" formatCode="_(&quot;$&quot;* #,##0.00_);_(&quot;$&quot;* \(#,##0.00\);_(&quot;$&quot;* &quot;-&quot;??_);_(@_)"/>
    <numFmt numFmtId="43" formatCode="_(* #,##0.00_);_(* \(#,##0.00\);_(* &quot;-&quot;??_);_(@_)"/>
    <numFmt numFmtId="164" formatCode="_(* #,##0_);_(* \(#,##0\);_(* &quot;-&quot;??_);_(@_)"/>
    <numFmt numFmtId="165" formatCode="0.00;[Red]0.00"/>
    <numFmt numFmtId="166" formatCode="0.0%"/>
    <numFmt numFmtId="167" formatCode="0.000"/>
    <numFmt numFmtId="168" formatCode="0.0"/>
    <numFmt numFmtId="169" formatCode="0.00000"/>
    <numFmt numFmtId="170" formatCode="#,##0.0"/>
    <numFmt numFmtId="171" formatCode="#,##0.000"/>
    <numFmt numFmtId="172" formatCode="0.000000"/>
    <numFmt numFmtId="173" formatCode="#,##0.0_);\(#,##0.0\)"/>
    <numFmt numFmtId="174" formatCode="#,##0;[Red]#,##0"/>
    <numFmt numFmtId="175" formatCode="#,##0.000000"/>
    <numFmt numFmtId="176" formatCode="0.0000000"/>
    <numFmt numFmtId="177" formatCode="0.000000000"/>
    <numFmt numFmtId="178" formatCode="0.0000000000"/>
    <numFmt numFmtId="179" formatCode="0.00000000"/>
    <numFmt numFmtId="180" formatCode="#,##0.0000"/>
    <numFmt numFmtId="181" formatCode="#,##0.00000"/>
    <numFmt numFmtId="182" formatCode="#,##0.00000000"/>
    <numFmt numFmtId="183" formatCode="#,##0.0000000"/>
    <numFmt numFmtId="184" formatCode="0.0000%"/>
    <numFmt numFmtId="185" formatCode="0.0000"/>
    <numFmt numFmtId="186" formatCode="#,##0.000000000"/>
    <numFmt numFmtId="187" formatCode="#,##0.0000000000"/>
    <numFmt numFmtId="188" formatCode="#,##0.000_);\(#,##0.000\)"/>
    <numFmt numFmtId="189" formatCode="0.000;[Red]0.000"/>
    <numFmt numFmtId="190" formatCode="0.0;[Red]0.0"/>
  </numFmts>
  <fonts count="10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b/>
      <sz val="10"/>
      <name val="Arial"/>
      <family val="2"/>
    </font>
    <font>
      <b/>
      <sz val="18"/>
      <name val="Arial"/>
      <family val="2"/>
    </font>
    <font>
      <b/>
      <i/>
      <sz val="11"/>
      <name val="Arial"/>
      <family val="2"/>
    </font>
    <font>
      <b/>
      <sz val="11"/>
      <name val="Arial"/>
      <family val="2"/>
    </font>
    <font>
      <sz val="11"/>
      <name val="Arial"/>
      <family val="2"/>
    </font>
    <font>
      <u/>
      <sz val="10"/>
      <color indexed="12"/>
      <name val="Arial"/>
      <family val="2"/>
    </font>
    <font>
      <sz val="9"/>
      <name val="Arial"/>
      <family val="2"/>
    </font>
    <font>
      <sz val="10"/>
      <color theme="1"/>
      <name val="Calibri"/>
      <family val="2"/>
    </font>
    <font>
      <u/>
      <sz val="10"/>
      <color theme="10"/>
      <name val="Calibri"/>
      <family val="2"/>
    </font>
    <font>
      <sz val="10"/>
      <color theme="0"/>
      <name val="Calibri"/>
      <family val="2"/>
    </font>
    <font>
      <b/>
      <sz val="11"/>
      <color theme="1"/>
      <name val="Calibri"/>
      <family val="2"/>
      <scheme val="minor"/>
    </font>
    <font>
      <sz val="11"/>
      <color indexed="8"/>
      <name val="Calibri"/>
      <family val="2"/>
    </font>
    <font>
      <b/>
      <sz val="9"/>
      <color indexed="9"/>
      <name val="Arial"/>
      <family val="2"/>
    </font>
    <font>
      <b/>
      <sz val="9"/>
      <name val="Arial"/>
      <family val="2"/>
    </font>
    <font>
      <sz val="10"/>
      <color theme="1"/>
      <name val="Calibri"/>
      <family val="2"/>
      <scheme val="minor"/>
    </font>
    <font>
      <sz val="10"/>
      <color theme="1"/>
      <name val="Arial"/>
      <family val="2"/>
    </font>
    <font>
      <b/>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1"/>
      <name val="Arial"/>
      <family val="2"/>
    </font>
    <font>
      <sz val="11"/>
      <color rgb="FF000000"/>
      <name val="Calibri"/>
      <family val="2"/>
      <scheme val="minor"/>
    </font>
    <font>
      <sz val="11"/>
      <name val="Calibri"/>
      <family val="2"/>
      <scheme val="minor"/>
    </font>
    <font>
      <b/>
      <sz val="10"/>
      <color rgb="FF000000"/>
      <name val="Arial"/>
      <family val="2"/>
    </font>
    <font>
      <sz val="10"/>
      <color rgb="FF000000"/>
      <name val="Arial"/>
      <family val="2"/>
    </font>
    <font>
      <sz val="10"/>
      <color theme="0"/>
      <name val="Arial"/>
      <family val="2"/>
    </font>
    <font>
      <u/>
      <sz val="11"/>
      <color theme="10"/>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theme="0"/>
      <name val="Arial"/>
      <family val="2"/>
    </font>
    <font>
      <b/>
      <sz val="11"/>
      <color theme="0"/>
      <name val="Arial"/>
      <family val="2"/>
    </font>
    <font>
      <sz val="11"/>
      <color theme="0"/>
      <name val="Arial"/>
      <family val="2"/>
    </font>
    <font>
      <i/>
      <sz val="10"/>
      <name val="Arial"/>
      <family val="2"/>
    </font>
    <font>
      <b/>
      <sz val="12"/>
      <color theme="0"/>
      <name val="Arial"/>
      <family val="2"/>
    </font>
    <font>
      <b/>
      <sz val="18"/>
      <color theme="1"/>
      <name val="Arial"/>
      <family val="2"/>
    </font>
    <font>
      <u/>
      <sz val="9"/>
      <color indexed="12"/>
      <name val="Arial"/>
      <family val="2"/>
    </font>
    <font>
      <sz val="9"/>
      <color theme="1"/>
      <name val="Calibri"/>
      <family val="2"/>
      <scheme val="minor"/>
    </font>
    <font>
      <b/>
      <sz val="11"/>
      <color rgb="FFFF0000"/>
      <name val="Arial"/>
      <family val="2"/>
    </font>
    <font>
      <b/>
      <sz val="11"/>
      <color rgb="FFFF0000"/>
      <name val="Calibri"/>
      <family val="2"/>
      <scheme val="minor"/>
    </font>
    <font>
      <b/>
      <sz val="9"/>
      <color theme="1"/>
      <name val="Calibri"/>
      <family val="2"/>
      <scheme val="minor"/>
    </font>
    <font>
      <b/>
      <sz val="12"/>
      <color theme="4"/>
      <name val="Calibri"/>
      <family val="2"/>
      <scheme val="minor"/>
    </font>
    <font>
      <sz val="9"/>
      <color theme="1"/>
      <name val="Arial"/>
      <family val="2"/>
    </font>
    <font>
      <b/>
      <sz val="10"/>
      <color rgb="FF222222"/>
      <name val="Arial"/>
      <family val="2"/>
    </font>
    <font>
      <sz val="10"/>
      <color rgb="FF222222"/>
      <name val="Arial"/>
      <family val="2"/>
    </font>
    <font>
      <u/>
      <sz val="9"/>
      <color theme="1"/>
      <name val="Arial"/>
      <family val="2"/>
    </font>
    <font>
      <u/>
      <sz val="9"/>
      <name val="Arial"/>
      <family val="2"/>
    </font>
    <font>
      <u/>
      <sz val="10"/>
      <name val="Arial"/>
      <family val="2"/>
    </font>
    <font>
      <b/>
      <u/>
      <sz val="10"/>
      <name val="Arial"/>
      <family val="2"/>
    </font>
    <font>
      <sz val="10"/>
      <name val="Arial Nova"/>
      <family val="2"/>
    </font>
    <font>
      <sz val="8"/>
      <name val="Arial"/>
      <family val="2"/>
    </font>
    <font>
      <b/>
      <sz val="16"/>
      <name val="Arial"/>
      <family val="2"/>
    </font>
    <font>
      <b/>
      <u/>
      <sz val="11"/>
      <color indexed="12"/>
      <name val="Arial"/>
      <family val="2"/>
    </font>
    <font>
      <sz val="10"/>
      <color rgb="FF333333"/>
      <name val="Arial"/>
      <family val="2"/>
    </font>
    <font>
      <sz val="10"/>
      <color rgb="FFFF0000"/>
      <name val="Arial"/>
      <family val="2"/>
    </font>
    <font>
      <b/>
      <sz val="10"/>
      <color rgb="FFFF0000"/>
      <name val="Arial"/>
      <family val="2"/>
    </font>
    <font>
      <sz val="10"/>
      <name val="Aptos Narrow"/>
      <family val="2"/>
    </font>
    <font>
      <sz val="10"/>
      <color theme="5"/>
      <name val="Arial"/>
      <family val="2"/>
    </font>
    <font>
      <i/>
      <sz val="8"/>
      <name val="Arial"/>
      <family val="2"/>
    </font>
    <font>
      <b/>
      <u/>
      <sz val="10"/>
      <color rgb="FF000000"/>
      <name val="Arial"/>
      <family val="2"/>
    </font>
    <font>
      <u/>
      <sz val="10"/>
      <color rgb="FF000000"/>
      <name val="Arial"/>
      <family val="2"/>
    </font>
    <font>
      <i/>
      <sz val="10"/>
      <color theme="1"/>
      <name val="Arial"/>
      <family val="2"/>
    </font>
    <font>
      <sz val="18"/>
      <color theme="3"/>
      <name val="Cambria"/>
      <family val="2"/>
      <scheme val="major"/>
    </font>
    <font>
      <sz val="11"/>
      <color rgb="FF9C5700"/>
      <name val="Calibri"/>
      <family val="2"/>
      <scheme val="minor"/>
    </font>
    <font>
      <b/>
      <sz val="12"/>
      <color rgb="FF000000"/>
      <name val="Aptos"/>
      <family val="2"/>
    </font>
    <font>
      <sz val="10"/>
      <color rgb="FF000000"/>
      <name val="Arial"/>
    </font>
    <font>
      <i/>
      <sz val="10"/>
      <color rgb="FF000000"/>
      <name val="Arial"/>
    </font>
    <font>
      <b/>
      <u/>
      <sz val="10"/>
      <color rgb="FF000000"/>
      <name val="Arial"/>
    </font>
  </fonts>
  <fills count="77">
    <fill>
      <patternFill patternType="none"/>
    </fill>
    <fill>
      <patternFill patternType="gray125"/>
    </fill>
    <fill>
      <patternFill patternType="solid">
        <fgColor theme="0" tint="-0.249977111117893"/>
        <bgColor indexed="64"/>
      </patternFill>
    </fill>
    <fill>
      <patternFill patternType="solid">
        <fgColor theme="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theme="5" tint="0.79998168889431442"/>
        <bgColor indexed="64"/>
      </patternFill>
    </fill>
    <fill>
      <patternFill patternType="solid">
        <fgColor theme="0" tint="-0.14999847407452621"/>
        <bgColor indexed="64"/>
      </patternFill>
    </fill>
    <fill>
      <patternFill patternType="solid">
        <fgColor theme="4" tint="0.59999389629810485"/>
        <bgColor rgb="FF000000"/>
      </patternFill>
    </fill>
    <fill>
      <patternFill patternType="solid">
        <fgColor theme="4" tint="0.59999389629810485"/>
        <bgColor indexed="64"/>
      </patternFill>
    </fill>
    <fill>
      <patternFill patternType="solid">
        <fgColor theme="5" tint="0.79998168889431442"/>
        <bgColor rgb="FF000000"/>
      </patternFill>
    </fill>
    <fill>
      <patternFill patternType="solid">
        <fgColor theme="0" tint="-0.14999847407452621"/>
        <bgColor rgb="FF000000"/>
      </patternFill>
    </fill>
    <fill>
      <patternFill patternType="solid">
        <fgColor theme="9" tint="0.59999389629810485"/>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theme="1"/>
        <bgColor indexed="64"/>
      </patternFill>
    </fill>
    <fill>
      <patternFill patternType="solid">
        <fgColor theme="6" tint="0.39997558519241921"/>
        <bgColor rgb="FF000000"/>
      </patternFill>
    </fill>
    <fill>
      <patternFill patternType="solid">
        <fgColor theme="6" tint="0.39997558519241921"/>
        <bgColor indexed="64"/>
      </patternFill>
    </fill>
    <fill>
      <patternFill patternType="solid">
        <fgColor theme="4" tint="0.79998168889431442"/>
        <bgColor rgb="FF000000"/>
      </patternFill>
    </fill>
    <fill>
      <patternFill patternType="solid">
        <fgColor theme="1" tint="0.59999389629810485"/>
        <bgColor indexed="64"/>
      </patternFill>
    </fill>
    <fill>
      <patternFill patternType="solid">
        <fgColor rgb="FFFFC000"/>
        <bgColor indexed="64"/>
      </patternFill>
    </fill>
    <fill>
      <patternFill patternType="solid">
        <fgColor theme="1"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499984740745262"/>
        <bgColor rgb="FF000000"/>
      </patternFill>
    </fill>
    <fill>
      <patternFill patternType="solid">
        <fgColor theme="8" tint="0.79998168889431442"/>
        <bgColor indexed="64"/>
      </patternFill>
    </fill>
    <fill>
      <patternFill patternType="solid">
        <fgColor rgb="FF00B050"/>
        <bgColor rgb="FF000000"/>
      </patternFill>
    </fill>
    <fill>
      <patternFill patternType="solid">
        <fgColor rgb="FF00B050"/>
        <bgColor indexed="64"/>
      </patternFill>
    </fill>
    <fill>
      <patternFill patternType="solid">
        <fgColor rgb="FFD5EFD1"/>
        <bgColor rgb="FF000000"/>
      </patternFill>
    </fill>
    <fill>
      <patternFill patternType="solid">
        <fgColor theme="9" tint="0.79998168889431442"/>
        <bgColor indexed="64"/>
      </patternFill>
    </fill>
    <fill>
      <patternFill patternType="solid">
        <fgColor rgb="FFFFFFFF"/>
        <bgColor indexed="64"/>
      </patternFill>
    </fill>
  </fills>
  <borders count="16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bottom style="medium">
        <color indexed="64"/>
      </bottom>
      <diagonal/>
    </border>
    <border>
      <left/>
      <right style="medium">
        <color indexed="64"/>
      </right>
      <top/>
      <bottom style="medium">
        <color indexed="64"/>
      </bottom>
      <diagonal/>
    </border>
    <border>
      <left style="thin">
        <color auto="1"/>
      </left>
      <right style="medium">
        <color auto="1"/>
      </right>
      <top style="thin">
        <color auto="1"/>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top/>
      <bottom style="medium">
        <color auto="1"/>
      </bottom>
      <diagonal/>
    </border>
    <border>
      <left style="medium">
        <color auto="1"/>
      </left>
      <right/>
      <top style="thin">
        <color auto="1"/>
      </top>
      <bottom style="thin">
        <color auto="1"/>
      </bottom>
      <diagonal/>
    </border>
    <border>
      <left style="thin">
        <color indexed="64"/>
      </left>
      <right style="thin">
        <color indexed="64"/>
      </right>
      <top style="medium">
        <color indexed="64"/>
      </top>
      <bottom style="hair">
        <color indexed="64"/>
      </bottom>
      <diagonal/>
    </border>
    <border>
      <left style="thin">
        <color indexed="64"/>
      </left>
      <right style="medium">
        <color auto="1"/>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thin">
        <color indexed="64"/>
      </left>
      <right style="thin">
        <color indexed="64"/>
      </right>
      <top style="hair">
        <color indexed="64"/>
      </top>
      <bottom style="thin">
        <color auto="1"/>
      </bottom>
      <diagonal/>
    </border>
    <border>
      <left style="thin">
        <color indexed="64"/>
      </left>
      <right style="medium">
        <color auto="1"/>
      </right>
      <top style="hair">
        <color indexed="64"/>
      </top>
      <bottom style="thin">
        <color auto="1"/>
      </bottom>
      <diagonal/>
    </border>
    <border>
      <left/>
      <right/>
      <top style="medium">
        <color indexed="64"/>
      </top>
      <bottom/>
      <diagonal/>
    </border>
    <border>
      <left/>
      <right style="medium">
        <color indexed="64"/>
      </right>
      <top style="medium">
        <color indexed="64"/>
      </top>
      <bottom/>
      <diagonal/>
    </border>
    <border>
      <left style="medium">
        <color auto="1"/>
      </left>
      <right style="thin">
        <color auto="1"/>
      </right>
      <top style="thin">
        <color auto="1"/>
      </top>
      <bottom/>
      <diagonal/>
    </border>
    <border>
      <left/>
      <right style="thin">
        <color indexed="64"/>
      </right>
      <top style="medium">
        <color indexed="64"/>
      </top>
      <bottom style="thin">
        <color indexed="64"/>
      </bottom>
      <diagonal/>
    </border>
    <border>
      <left style="medium">
        <color auto="1"/>
      </left>
      <right/>
      <top style="thin">
        <color auto="1"/>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medium">
        <color auto="1"/>
      </left>
      <right style="thin">
        <color auto="1"/>
      </right>
      <top style="hair">
        <color auto="1"/>
      </top>
      <bottom style="thin">
        <color auto="1"/>
      </bottom>
      <diagonal/>
    </border>
    <border>
      <left style="medium">
        <color indexed="64"/>
      </left>
      <right style="thin">
        <color indexed="64"/>
      </right>
      <top style="medium">
        <color indexed="64"/>
      </top>
      <bottom style="hair">
        <color indexed="64"/>
      </bottom>
      <diagonal/>
    </border>
    <border>
      <left style="medium">
        <color indexed="64"/>
      </left>
      <right style="thin">
        <color auto="1"/>
      </right>
      <top style="hair">
        <color indexed="64"/>
      </top>
      <bottom style="hair">
        <color indexed="64"/>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thin">
        <color indexed="64"/>
      </left>
      <right/>
      <top style="hair">
        <color indexed="64"/>
      </top>
      <bottom style="thin">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right style="medium">
        <color indexed="64"/>
      </right>
      <top style="medium">
        <color indexed="64"/>
      </top>
      <bottom style="thin">
        <color auto="1"/>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auto="1"/>
      </right>
      <top style="hair">
        <color indexed="64"/>
      </top>
      <bottom/>
      <diagonal/>
    </border>
    <border>
      <left style="thin">
        <color auto="1"/>
      </left>
      <right/>
      <top style="thin">
        <color auto="1"/>
      </top>
      <bottom/>
      <diagonal/>
    </border>
    <border>
      <left/>
      <right style="medium">
        <color auto="1"/>
      </right>
      <top/>
      <bottom/>
      <diagonal/>
    </border>
    <border>
      <left style="medium">
        <color auto="1"/>
      </left>
      <right/>
      <top style="thin">
        <color auto="1"/>
      </top>
      <bottom style="hair">
        <color auto="1"/>
      </bottom>
      <diagonal/>
    </border>
    <border>
      <left style="medium">
        <color auto="1"/>
      </left>
      <right/>
      <top style="hair">
        <color auto="1"/>
      </top>
      <bottom style="hair">
        <color auto="1"/>
      </bottom>
      <diagonal/>
    </border>
    <border>
      <left style="thin">
        <color indexed="64"/>
      </left>
      <right/>
      <top/>
      <bottom style="medium">
        <color indexed="64"/>
      </bottom>
      <diagonal/>
    </border>
    <border>
      <left/>
      <right style="thin">
        <color indexed="64"/>
      </right>
      <top style="medium">
        <color indexed="64"/>
      </top>
      <bottom/>
      <diagonal/>
    </border>
    <border>
      <left style="medium">
        <color auto="1"/>
      </left>
      <right style="thin">
        <color auto="1"/>
      </right>
      <top/>
      <bottom style="hair">
        <color auto="1"/>
      </bottom>
      <diagonal/>
    </border>
    <border>
      <left style="thin">
        <color indexed="64"/>
      </left>
      <right/>
      <top style="hair">
        <color indexed="64"/>
      </top>
      <bottom/>
      <diagonal/>
    </border>
    <border>
      <left/>
      <right/>
      <top/>
      <bottom style="dashed">
        <color theme="0" tint="-0.24994659260841701"/>
      </bottom>
      <diagonal/>
    </border>
    <border>
      <left/>
      <right/>
      <top/>
      <bottom style="thin">
        <color theme="0" tint="-0.249977111117893"/>
      </bottom>
      <diagonal/>
    </border>
    <border>
      <left/>
      <right/>
      <top style="medium">
        <color theme="4"/>
      </top>
      <bottom/>
      <diagonal/>
    </border>
    <border>
      <left style="thick">
        <color theme="0"/>
      </left>
      <right style="thick">
        <color theme="0"/>
      </right>
      <top/>
      <bottom style="thin">
        <color theme="0" tint="-0.24994659260841701"/>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indexed="64"/>
      </left>
      <right/>
      <top style="medium">
        <color auto="1"/>
      </top>
      <bottom style="hair">
        <color indexed="64"/>
      </bottom>
      <diagonal/>
    </border>
    <border>
      <left style="medium">
        <color auto="1"/>
      </left>
      <right/>
      <top style="medium">
        <color indexed="64"/>
      </top>
      <bottom style="hair">
        <color auto="1"/>
      </bottom>
      <diagonal/>
    </border>
    <border>
      <left style="medium">
        <color auto="1"/>
      </left>
      <right/>
      <top style="hair">
        <color auto="1"/>
      </top>
      <bottom style="thin">
        <color auto="1"/>
      </bottom>
      <diagonal/>
    </border>
    <border>
      <left style="thin">
        <color auto="1"/>
      </left>
      <right/>
      <top/>
      <bottom style="hair">
        <color auto="1"/>
      </bottom>
      <diagonal/>
    </border>
    <border>
      <left style="thin">
        <color auto="1"/>
      </left>
      <right/>
      <top/>
      <bottom/>
      <diagonal/>
    </border>
    <border>
      <left/>
      <right style="thin">
        <color indexed="64"/>
      </right>
      <top/>
      <bottom style="thin">
        <color indexed="64"/>
      </bottom>
      <diagonal/>
    </border>
    <border>
      <left style="thin">
        <color auto="1"/>
      </left>
      <right/>
      <top style="thin">
        <color auto="1"/>
      </top>
      <bottom style="hair">
        <color auto="1"/>
      </bottom>
      <diagonal/>
    </border>
    <border>
      <left/>
      <right style="thin">
        <color indexed="64"/>
      </right>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hair">
        <color indexed="64"/>
      </top>
      <bottom style="hair">
        <color indexed="64"/>
      </bottom>
      <diagonal/>
    </border>
    <border>
      <left/>
      <right style="thin">
        <color auto="1"/>
      </right>
      <top style="thin">
        <color auto="1"/>
      </top>
      <bottom style="hair">
        <color auto="1"/>
      </bottom>
      <diagonal/>
    </border>
    <border>
      <left/>
      <right style="thin">
        <color indexed="64"/>
      </right>
      <top style="hair">
        <color indexed="64"/>
      </top>
      <bottom style="medium">
        <color indexed="64"/>
      </bottom>
      <diagonal/>
    </border>
    <border>
      <left/>
      <right style="thin">
        <color indexed="64"/>
      </right>
      <top style="hair">
        <color indexed="64"/>
      </top>
      <bottom/>
      <diagonal/>
    </border>
    <border>
      <left/>
      <right/>
      <top style="thin">
        <color auto="1"/>
      </top>
      <bottom style="thin">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auto="1"/>
      </bottom>
      <diagonal/>
    </border>
    <border>
      <left/>
      <right style="medium">
        <color auto="1"/>
      </right>
      <top style="hair">
        <color auto="1"/>
      </top>
      <bottom/>
      <diagonal/>
    </border>
    <border>
      <left/>
      <right style="medium">
        <color auto="1"/>
      </right>
      <top/>
      <bottom style="hair">
        <color auto="1"/>
      </bottom>
      <diagonal/>
    </border>
    <border>
      <left/>
      <right style="medium">
        <color auto="1"/>
      </right>
      <top style="thin">
        <color auto="1"/>
      </top>
      <bottom style="thin">
        <color auto="1"/>
      </bottom>
      <diagonal/>
    </border>
    <border>
      <left/>
      <right style="thin">
        <color indexed="64"/>
      </right>
      <top style="hair">
        <color auto="1"/>
      </top>
      <bottom style="thin">
        <color auto="1"/>
      </bottom>
      <diagonal/>
    </border>
    <border>
      <left/>
      <right style="thin">
        <color indexed="64"/>
      </right>
      <top/>
      <bottom/>
      <diagonal/>
    </border>
    <border>
      <left/>
      <right style="thin">
        <color indexed="64"/>
      </right>
      <top style="medium">
        <color indexed="64"/>
      </top>
      <bottom style="hair">
        <color indexed="64"/>
      </bottom>
      <diagonal/>
    </border>
    <border>
      <left style="medium">
        <color indexed="64"/>
      </left>
      <right style="medium">
        <color indexed="64"/>
      </right>
      <top style="medium">
        <color indexed="64"/>
      </top>
      <bottom style="medium">
        <color indexed="64"/>
      </bottom>
      <diagonal/>
    </border>
    <border>
      <left/>
      <right style="medium">
        <color auto="1"/>
      </right>
      <top style="medium">
        <color indexed="64"/>
      </top>
      <bottom style="hair">
        <color indexed="64"/>
      </bottom>
      <diagonal/>
    </border>
    <border>
      <left/>
      <right style="medium">
        <color indexed="64"/>
      </right>
      <top/>
      <bottom style="thin">
        <color indexed="64"/>
      </bottom>
      <diagonal/>
    </border>
    <border>
      <left/>
      <right/>
      <top style="hair">
        <color auto="1"/>
      </top>
      <bottom style="hair">
        <color auto="1"/>
      </bottom>
      <diagonal/>
    </border>
    <border>
      <left/>
      <right style="medium">
        <color auto="1"/>
      </right>
      <top style="thin">
        <color indexed="64"/>
      </top>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right/>
      <top/>
      <bottom style="thin">
        <color auto="1"/>
      </bottom>
      <diagonal/>
    </border>
    <border>
      <left style="medium">
        <color indexed="64"/>
      </left>
      <right style="medium">
        <color indexed="64"/>
      </right>
      <top/>
      <bottom style="thin">
        <color indexed="64"/>
      </bottom>
      <diagonal/>
    </border>
    <border>
      <left style="medium">
        <color indexed="64"/>
      </left>
      <right style="medium">
        <color auto="1"/>
      </right>
      <top style="thin">
        <color indexed="64"/>
      </top>
      <bottom style="medium">
        <color indexed="64"/>
      </bottom>
      <diagonal/>
    </border>
    <border>
      <left style="medium">
        <color auto="1"/>
      </left>
      <right style="medium">
        <color indexed="64"/>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thin">
        <color indexed="64"/>
      </top>
      <bottom style="medium">
        <color auto="1"/>
      </bottom>
      <diagonal/>
    </border>
    <border>
      <left style="medium">
        <color auto="1"/>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thin">
        <color theme="9" tint="-0.499984740745262"/>
      </right>
      <top style="medium">
        <color indexed="64"/>
      </top>
      <bottom/>
      <diagonal/>
    </border>
    <border>
      <left style="thin">
        <color theme="9" tint="-0.499984740745262"/>
      </left>
      <right style="thin">
        <color theme="9" tint="-0.499984740745262"/>
      </right>
      <top style="medium">
        <color indexed="64"/>
      </top>
      <bottom/>
      <diagonal/>
    </border>
    <border>
      <left style="thin">
        <color theme="9" tint="-0.499984740745262"/>
      </left>
      <right style="medium">
        <color indexed="64"/>
      </right>
      <top style="medium">
        <color indexed="64"/>
      </top>
      <bottom/>
      <diagonal/>
    </border>
  </borders>
  <cellStyleXfs count="221">
    <xf numFmtId="0" fontId="0" fillId="0" borderId="0"/>
    <xf numFmtId="43" fontId="13" fillId="0" borderId="0" applyFont="0" applyFill="0" applyBorder="0" applyAlignment="0" applyProtection="0"/>
    <xf numFmtId="0" fontId="20" fillId="0" borderId="0" applyNumberFormat="0" applyFill="0" applyBorder="0" applyAlignment="0" applyProtection="0">
      <alignment vertical="top"/>
      <protection locked="0"/>
    </xf>
    <xf numFmtId="9" fontId="13" fillId="0" borderId="0" applyFont="0" applyFill="0" applyBorder="0" applyAlignment="0" applyProtection="0"/>
    <xf numFmtId="0" fontId="13" fillId="0" borderId="0"/>
    <xf numFmtId="0" fontId="22" fillId="0" borderId="0"/>
    <xf numFmtId="0" fontId="23" fillId="0" borderId="0" applyNumberFormat="0" applyFill="0" applyBorder="0" applyAlignment="0" applyProtection="0">
      <alignment vertical="top"/>
      <protection locked="0"/>
    </xf>
    <xf numFmtId="0" fontId="24" fillId="3"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12" fillId="0" borderId="0" applyFont="0" applyFill="0" applyBorder="0" applyAlignment="0" applyProtection="0"/>
    <xf numFmtId="0" fontId="22" fillId="0" borderId="0"/>
    <xf numFmtId="43" fontId="26" fillId="0" borderId="0" applyFont="0" applyFill="0" applyBorder="0" applyAlignment="0" applyProtection="0"/>
    <xf numFmtId="9" fontId="12" fillId="0" borderId="0" applyFont="0" applyFill="0" applyBorder="0" applyAlignment="0" applyProtection="0"/>
    <xf numFmtId="0" fontId="12" fillId="0" borderId="0"/>
    <xf numFmtId="0" fontId="32" fillId="0" borderId="0" applyNumberFormat="0" applyFill="0" applyBorder="0" applyAlignment="0" applyProtection="0"/>
    <xf numFmtId="0" fontId="33" fillId="0" borderId="25" applyNumberFormat="0" applyFill="0" applyAlignment="0" applyProtection="0"/>
    <xf numFmtId="0" fontId="34" fillId="0" borderId="26" applyNumberFormat="0" applyFill="0" applyAlignment="0" applyProtection="0"/>
    <xf numFmtId="0" fontId="35" fillId="0" borderId="27" applyNumberFormat="0" applyFill="0" applyAlignment="0" applyProtection="0"/>
    <xf numFmtId="0" fontId="35" fillId="0" borderId="0" applyNumberFormat="0" applyFill="0" applyBorder="0" applyAlignment="0" applyProtection="0"/>
    <xf numFmtId="0" fontId="36" fillId="5" borderId="0" applyNumberFormat="0" applyBorder="0" applyAlignment="0" applyProtection="0"/>
    <xf numFmtId="0" fontId="37" fillId="6" borderId="0" applyNumberFormat="0" applyBorder="0" applyAlignment="0" applyProtection="0"/>
    <xf numFmtId="0" fontId="38" fillId="7" borderId="0" applyNumberFormat="0" applyBorder="0" applyAlignment="0" applyProtection="0"/>
    <xf numFmtId="0" fontId="39" fillId="8" borderId="28" applyNumberFormat="0" applyAlignment="0" applyProtection="0"/>
    <xf numFmtId="0" fontId="40" fillId="9" borderId="29" applyNumberFormat="0" applyAlignment="0" applyProtection="0"/>
    <xf numFmtId="0" fontId="41" fillId="9" borderId="28" applyNumberFormat="0" applyAlignment="0" applyProtection="0"/>
    <xf numFmtId="0" fontId="42" fillId="0" borderId="30" applyNumberFormat="0" applyFill="0" applyAlignment="0" applyProtection="0"/>
    <xf numFmtId="0" fontId="43" fillId="10" borderId="31"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25" fillId="0" borderId="33" applyNumberFormat="0" applyFill="0" applyAlignment="0" applyProtection="0"/>
    <xf numFmtId="0" fontId="46" fillId="3"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46" fillId="30" borderId="0" applyNumberFormat="0" applyBorder="0" applyAlignment="0" applyProtection="0"/>
    <xf numFmtId="0" fontId="46"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46" fillId="34" borderId="0" applyNumberFormat="0" applyBorder="0" applyAlignment="0" applyProtection="0"/>
    <xf numFmtId="0" fontId="11" fillId="0" borderId="0"/>
    <xf numFmtId="0" fontId="11" fillId="11" borderId="32" applyNumberFormat="0" applyFont="0" applyAlignment="0" applyProtection="0"/>
    <xf numFmtId="0" fontId="10" fillId="0" borderId="0"/>
    <xf numFmtId="0" fontId="10" fillId="11" borderId="32"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9" fillId="0" borderId="0"/>
    <xf numFmtId="0" fontId="9" fillId="11" borderId="32" applyNumberFormat="0" applyFont="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48" fillId="0" borderId="0"/>
    <xf numFmtId="0" fontId="8" fillId="0" borderId="0"/>
    <xf numFmtId="0" fontId="7" fillId="0" borderId="0"/>
    <xf numFmtId="0" fontId="6" fillId="0" borderId="0"/>
    <xf numFmtId="43" fontId="6" fillId="0" borderId="0" applyFont="0" applyFill="0" applyBorder="0" applyAlignment="0" applyProtection="0"/>
    <xf numFmtId="0" fontId="5" fillId="0" borderId="0"/>
    <xf numFmtId="0" fontId="5" fillId="11" borderId="32" applyNumberFormat="0" applyFont="0" applyAlignment="0" applyProtection="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2" fillId="0" borderId="0"/>
    <xf numFmtId="0" fontId="4" fillId="0" borderId="0"/>
    <xf numFmtId="0" fontId="53" fillId="0" borderId="0" applyNumberFormat="0" applyFill="0" applyBorder="0" applyAlignment="0" applyProtection="0"/>
    <xf numFmtId="0" fontId="4" fillId="0" borderId="0"/>
    <xf numFmtId="0" fontId="46" fillId="14" borderId="0" applyNumberFormat="0" applyBorder="0" applyAlignment="0" applyProtection="0"/>
    <xf numFmtId="0" fontId="54" fillId="43" borderId="0" applyNumberFormat="0" applyBorder="0" applyAlignment="0" applyProtection="0"/>
    <xf numFmtId="0" fontId="46" fillId="18" borderId="0" applyNumberFormat="0" applyBorder="0" applyAlignment="0" applyProtection="0"/>
    <xf numFmtId="0" fontId="54" fillId="44" borderId="0" applyNumberFormat="0" applyBorder="0" applyAlignment="0" applyProtection="0"/>
    <xf numFmtId="0" fontId="46" fillId="22" borderId="0" applyNumberFormat="0" applyBorder="0" applyAlignment="0" applyProtection="0"/>
    <xf numFmtId="0" fontId="54" fillId="45" borderId="0" applyNumberFormat="0" applyBorder="0" applyAlignment="0" applyProtection="0"/>
    <xf numFmtId="0" fontId="46" fillId="26" borderId="0" applyNumberFormat="0" applyBorder="0" applyAlignment="0" applyProtection="0"/>
    <xf numFmtId="0" fontId="54" fillId="46" borderId="0" applyNumberFormat="0" applyBorder="0" applyAlignment="0" applyProtection="0"/>
    <xf numFmtId="0" fontId="46" fillId="30" borderId="0" applyNumberFormat="0" applyBorder="0" applyAlignment="0" applyProtection="0"/>
    <xf numFmtId="0" fontId="54" fillId="47" borderId="0" applyNumberFormat="0" applyBorder="0" applyAlignment="0" applyProtection="0"/>
    <xf numFmtId="0" fontId="46" fillId="34" borderId="0" applyNumberFormat="0" applyBorder="0" applyAlignment="0" applyProtection="0"/>
    <xf numFmtId="0" fontId="54" fillId="48" borderId="0" applyNumberFormat="0" applyBorder="0" applyAlignment="0" applyProtection="0"/>
    <xf numFmtId="0" fontId="46" fillId="3" borderId="0" applyNumberFormat="0" applyBorder="0" applyAlignment="0" applyProtection="0"/>
    <xf numFmtId="0" fontId="54" fillId="49" borderId="0" applyNumberFormat="0" applyBorder="0" applyAlignment="0" applyProtection="0"/>
    <xf numFmtId="0" fontId="46" fillId="15" borderId="0" applyNumberFormat="0" applyBorder="0" applyAlignment="0" applyProtection="0"/>
    <xf numFmtId="0" fontId="54" fillId="50" borderId="0" applyNumberFormat="0" applyBorder="0" applyAlignment="0" applyProtection="0"/>
    <xf numFmtId="0" fontId="46" fillId="19" borderId="0" applyNumberFormat="0" applyBorder="0" applyAlignment="0" applyProtection="0"/>
    <xf numFmtId="0" fontId="54" fillId="51" borderId="0" applyNumberFormat="0" applyBorder="0" applyAlignment="0" applyProtection="0"/>
    <xf numFmtId="0" fontId="46" fillId="23" borderId="0" applyNumberFormat="0" applyBorder="0" applyAlignment="0" applyProtection="0"/>
    <xf numFmtId="0" fontId="54" fillId="46" borderId="0" applyNumberFormat="0" applyBorder="0" applyAlignment="0" applyProtection="0"/>
    <xf numFmtId="0" fontId="46" fillId="27" borderId="0" applyNumberFormat="0" applyBorder="0" applyAlignment="0" applyProtection="0"/>
    <xf numFmtId="0" fontId="54" fillId="47" borderId="0" applyNumberFormat="0" applyBorder="0" applyAlignment="0" applyProtection="0"/>
    <xf numFmtId="0" fontId="46" fillId="31" borderId="0" applyNumberFormat="0" applyBorder="0" applyAlignment="0" applyProtection="0"/>
    <xf numFmtId="0" fontId="54" fillId="52" borderId="0" applyNumberFormat="0" applyBorder="0" applyAlignment="0" applyProtection="0"/>
    <xf numFmtId="0" fontId="37" fillId="6" borderId="0" applyNumberFormat="0" applyBorder="0" applyAlignment="0" applyProtection="0"/>
    <xf numFmtId="0" fontId="55" fillId="53" borderId="0" applyNumberFormat="0" applyBorder="0" applyAlignment="0" applyProtection="0"/>
    <xf numFmtId="0" fontId="41" fillId="9" borderId="28" applyNumberFormat="0" applyAlignment="0" applyProtection="0"/>
    <xf numFmtId="0" fontId="56" fillId="54" borderId="40" applyNumberFormat="0" applyAlignment="0" applyProtection="0"/>
    <xf numFmtId="0" fontId="56" fillId="54" borderId="40" applyNumberFormat="0" applyAlignment="0" applyProtection="0"/>
    <xf numFmtId="0" fontId="43" fillId="10" borderId="31" applyNumberFormat="0" applyAlignment="0" applyProtection="0"/>
    <xf numFmtId="0" fontId="57" fillId="55" borderId="41" applyNumberFormat="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45" fillId="0" borderId="0" applyNumberFormat="0" applyFill="0" applyBorder="0" applyAlignment="0" applyProtection="0"/>
    <xf numFmtId="0" fontId="58" fillId="0" borderId="0" applyNumberFormat="0" applyFill="0" applyBorder="0" applyAlignment="0" applyProtection="0"/>
    <xf numFmtId="0" fontId="36" fillId="5" borderId="0" applyNumberFormat="0" applyBorder="0" applyAlignment="0" applyProtection="0"/>
    <xf numFmtId="0" fontId="59" fillId="56" borderId="0" applyNumberFormat="0" applyBorder="0" applyAlignment="0" applyProtection="0"/>
    <xf numFmtId="0" fontId="33" fillId="0" borderId="25" applyNumberFormat="0" applyFill="0" applyAlignment="0" applyProtection="0"/>
    <xf numFmtId="0" fontId="60" fillId="0" borderId="42" applyNumberFormat="0" applyFill="0" applyAlignment="0" applyProtection="0"/>
    <xf numFmtId="0" fontId="34" fillId="0" borderId="26" applyNumberFormat="0" applyFill="0" applyAlignment="0" applyProtection="0"/>
    <xf numFmtId="0" fontId="61" fillId="0" borderId="43" applyNumberFormat="0" applyFill="0" applyAlignment="0" applyProtection="0"/>
    <xf numFmtId="0" fontId="35" fillId="0" borderId="27" applyNumberFormat="0" applyFill="0" applyAlignment="0" applyProtection="0"/>
    <xf numFmtId="0" fontId="62" fillId="0" borderId="44" applyNumberFormat="0" applyFill="0" applyAlignment="0" applyProtection="0"/>
    <xf numFmtId="0" fontId="35" fillId="0" borderId="0" applyNumberFormat="0" applyFill="0" applyBorder="0" applyAlignment="0" applyProtection="0"/>
    <xf numFmtId="0" fontId="62" fillId="0" borderId="0" applyNumberFormat="0" applyFill="0" applyBorder="0" applyAlignment="0" applyProtection="0"/>
    <xf numFmtId="0" fontId="2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9" fillId="8" borderId="28" applyNumberFormat="0" applyAlignment="0" applyProtection="0"/>
    <xf numFmtId="0" fontId="63" fillId="57" borderId="40" applyNumberFormat="0" applyAlignment="0" applyProtection="0"/>
    <xf numFmtId="0" fontId="63" fillId="57" borderId="40" applyNumberFormat="0" applyAlignment="0" applyProtection="0"/>
    <xf numFmtId="0" fontId="42" fillId="0" borderId="30" applyNumberFormat="0" applyFill="0" applyAlignment="0" applyProtection="0"/>
    <xf numFmtId="0" fontId="64" fillId="0" borderId="45" applyNumberFormat="0" applyFill="0" applyAlignment="0" applyProtection="0"/>
    <xf numFmtId="0" fontId="38" fillId="7" borderId="0" applyNumberFormat="0" applyBorder="0" applyAlignment="0" applyProtection="0"/>
    <xf numFmtId="0" fontId="65" fillId="58" borderId="0" applyNumberFormat="0" applyBorder="0" applyAlignment="0" applyProtection="0"/>
    <xf numFmtId="0" fontId="12" fillId="0" borderId="0"/>
    <xf numFmtId="0" fontId="12" fillId="0" borderId="0"/>
    <xf numFmtId="0" fontId="12" fillId="0" borderId="0"/>
    <xf numFmtId="0" fontId="22" fillId="0" borderId="0"/>
    <xf numFmtId="0" fontId="40" fillId="9" borderId="29" applyNumberFormat="0" applyAlignment="0" applyProtection="0"/>
    <xf numFmtId="0" fontId="66" fillId="54" borderId="46" applyNumberFormat="0" applyAlignment="0" applyProtection="0"/>
    <xf numFmtId="0" fontId="66" fillId="54" borderId="46" applyNumberFormat="0" applyAlignment="0" applyProtection="0"/>
    <xf numFmtId="0" fontId="32" fillId="0" borderId="0" applyNumberFormat="0" applyFill="0" applyBorder="0" applyAlignment="0" applyProtection="0"/>
    <xf numFmtId="0" fontId="67" fillId="0" borderId="0" applyNumberFormat="0" applyFill="0" applyBorder="0" applyAlignment="0" applyProtection="0"/>
    <xf numFmtId="0" fontId="25" fillId="0" borderId="33" applyNumberFormat="0" applyFill="0" applyAlignment="0" applyProtection="0"/>
    <xf numFmtId="0" fontId="68" fillId="0" borderId="47" applyNumberFormat="0" applyFill="0" applyAlignment="0" applyProtection="0"/>
    <xf numFmtId="0" fontId="68" fillId="0" borderId="47" applyNumberFormat="0" applyFill="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77" fillId="0" borderId="0" applyNumberForma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80" fillId="0" borderId="25" applyNumberFormat="0" applyProtection="0">
      <alignment wrapText="1"/>
    </xf>
    <xf numFmtId="0" fontId="77" fillId="0" borderId="98" applyNumberFormat="0" applyFont="0" applyProtection="0">
      <alignment wrapText="1"/>
    </xf>
    <xf numFmtId="0" fontId="80" fillId="0" borderId="99" applyNumberFormat="0" applyProtection="0">
      <alignment wrapText="1"/>
    </xf>
    <xf numFmtId="0" fontId="77" fillId="0" borderId="0" applyNumberFormat="0" applyProtection="0">
      <alignment vertical="top" wrapText="1"/>
    </xf>
    <xf numFmtId="0" fontId="77" fillId="0" borderId="100" applyNumberFormat="0" applyProtection="0">
      <alignment vertical="top" wrapText="1"/>
    </xf>
    <xf numFmtId="0" fontId="80" fillId="0" borderId="101" applyNumberFormat="0" applyProtection="0">
      <alignment horizontal="left" wrapText="1"/>
    </xf>
    <xf numFmtId="0" fontId="77" fillId="0" borderId="102" applyNumberFormat="0" applyFont="0" applyFill="0" applyProtection="0">
      <alignment wrapText="1"/>
    </xf>
    <xf numFmtId="0" fontId="80" fillId="0" borderId="103" applyNumberFormat="0" applyFill="0" applyProtection="0">
      <alignment wrapText="1"/>
    </xf>
    <xf numFmtId="0" fontId="81" fillId="0" borderId="0" applyNumberFormat="0" applyProtection="0">
      <alignment horizontal="left"/>
    </xf>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0" fontId="102" fillId="0" borderId="0" applyNumberFormat="0" applyFill="0" applyBorder="0" applyAlignment="0" applyProtection="0"/>
    <xf numFmtId="0" fontId="103" fillId="7" borderId="0" applyNumberFormat="0" applyBorder="0" applyAlignment="0" applyProtection="0"/>
    <xf numFmtId="0" fontId="1" fillId="11" borderId="32"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cellStyleXfs>
  <cellXfs count="2115">
    <xf numFmtId="0" fontId="0" fillId="0" borderId="0" xfId="0"/>
    <xf numFmtId="0" fontId="14" fillId="0" borderId="0" xfId="0" applyFont="1"/>
    <xf numFmtId="0" fontId="13" fillId="0" borderId="0" xfId="0" applyFont="1"/>
    <xf numFmtId="0" fontId="29" fillId="0" borderId="0" xfId="10" applyFont="1"/>
    <xf numFmtId="0" fontId="0" fillId="4" borderId="0" xfId="0" applyFill="1"/>
    <xf numFmtId="0" fontId="0" fillId="4" borderId="0" xfId="0" applyFill="1" applyAlignment="1">
      <alignment wrapText="1"/>
    </xf>
    <xf numFmtId="3" fontId="0" fillId="4" borderId="0" xfId="0" applyNumberFormat="1" applyFill="1"/>
    <xf numFmtId="43" fontId="0" fillId="4" borderId="0" xfId="0" applyNumberFormat="1" applyFill="1"/>
    <xf numFmtId="164" fontId="0" fillId="4" borderId="0" xfId="0" applyNumberFormat="1" applyFill="1"/>
    <xf numFmtId="0" fontId="14" fillId="4" borderId="0" xfId="0" applyFont="1" applyFill="1"/>
    <xf numFmtId="0" fontId="12" fillId="4" borderId="0" xfId="0" applyFont="1" applyFill="1" applyAlignment="1">
      <alignment wrapText="1"/>
    </xf>
    <xf numFmtId="0" fontId="18" fillId="4" borderId="0" xfId="0" applyFont="1" applyFill="1"/>
    <xf numFmtId="0" fontId="29" fillId="4" borderId="0" xfId="10" applyFont="1" applyFill="1"/>
    <xf numFmtId="0" fontId="17" fillId="4" borderId="0" xfId="0" applyFont="1" applyFill="1" applyAlignment="1">
      <alignment horizontal="left"/>
    </xf>
    <xf numFmtId="0" fontId="27" fillId="4" borderId="0" xfId="0" applyFont="1" applyFill="1" applyAlignment="1">
      <alignment horizontal="center" vertical="center"/>
    </xf>
    <xf numFmtId="0" fontId="21" fillId="4" borderId="0" xfId="0" applyFont="1" applyFill="1" applyAlignment="1">
      <alignment horizontal="center" vertical="justify"/>
    </xf>
    <xf numFmtId="3" fontId="21" fillId="4" borderId="0" xfId="0" applyNumberFormat="1" applyFont="1" applyFill="1"/>
    <xf numFmtId="0" fontId="21" fillId="4" borderId="0" xfId="0" applyFont="1" applyFill="1"/>
    <xf numFmtId="0" fontId="19" fillId="4" borderId="0" xfId="0" applyFont="1" applyFill="1" applyAlignment="1">
      <alignment wrapText="1"/>
    </xf>
    <xf numFmtId="0" fontId="12" fillId="35" borderId="0" xfId="19" applyFill="1" applyAlignment="1">
      <alignment horizontal="center" wrapText="1"/>
    </xf>
    <xf numFmtId="0" fontId="12" fillId="35" borderId="0" xfId="19" applyFill="1" applyAlignment="1">
      <alignment wrapText="1"/>
    </xf>
    <xf numFmtId="0" fontId="12" fillId="35" borderId="0" xfId="19" applyFill="1"/>
    <xf numFmtId="37" fontId="12" fillId="35" borderId="0" xfId="19" applyNumberFormat="1" applyFill="1" applyAlignment="1">
      <alignment horizontal="center" wrapText="1"/>
    </xf>
    <xf numFmtId="0" fontId="12" fillId="35" borderId="0" xfId="19" applyFill="1" applyAlignment="1">
      <alignment horizontal="center" vertical="center" wrapText="1"/>
    </xf>
    <xf numFmtId="0" fontId="13" fillId="4" borderId="0" xfId="0" applyFont="1" applyFill="1"/>
    <xf numFmtId="0" fontId="12" fillId="4" borderId="0" xfId="0" applyFont="1" applyFill="1" applyAlignment="1">
      <alignment vertical="top" wrapText="1"/>
    </xf>
    <xf numFmtId="0" fontId="12" fillId="4" borderId="0" xfId="0" applyFont="1" applyFill="1" applyAlignment="1">
      <alignment horizontal="left" vertical="top"/>
    </xf>
    <xf numFmtId="0" fontId="49" fillId="4" borderId="0" xfId="0" applyFont="1" applyFill="1"/>
    <xf numFmtId="0" fontId="49" fillId="35" borderId="0" xfId="19" applyFont="1" applyFill="1"/>
    <xf numFmtId="0" fontId="49" fillId="35" borderId="0" xfId="19" applyFont="1" applyFill="1" applyAlignment="1">
      <alignment horizontal="center" wrapText="1"/>
    </xf>
    <xf numFmtId="0" fontId="12" fillId="4" borderId="0" xfId="0" applyFont="1" applyFill="1"/>
    <xf numFmtId="0" fontId="28" fillId="0" borderId="0" xfId="0" applyFont="1" applyAlignment="1">
      <alignment horizontal="center" wrapText="1"/>
    </xf>
    <xf numFmtId="4" fontId="47" fillId="0" borderId="6" xfId="0" applyNumberFormat="1" applyFont="1" applyBorder="1"/>
    <xf numFmtId="0" fontId="15" fillId="4" borderId="0" xfId="0" applyFont="1" applyFill="1" applyAlignment="1">
      <alignment horizontal="left"/>
    </xf>
    <xf numFmtId="0" fontId="52" fillId="4" borderId="0" xfId="0" applyFont="1" applyFill="1" applyAlignment="1">
      <alignment wrapText="1"/>
    </xf>
    <xf numFmtId="0" fontId="52" fillId="4" borderId="0" xfId="0" applyFont="1" applyFill="1"/>
    <xf numFmtId="0" fontId="52" fillId="4" borderId="0" xfId="0" applyFont="1" applyFill="1" applyAlignment="1">
      <alignment horizontal="center" vertical="center"/>
    </xf>
    <xf numFmtId="11" fontId="52" fillId="4" borderId="0" xfId="0" applyNumberFormat="1" applyFont="1" applyFill="1" applyAlignment="1">
      <alignment horizontal="center" vertical="center"/>
    </xf>
    <xf numFmtId="0" fontId="12" fillId="0" borderId="0" xfId="0" applyFont="1" applyAlignment="1">
      <alignment vertical="top" wrapText="1"/>
    </xf>
    <xf numFmtId="164" fontId="0" fillId="4" borderId="0" xfId="1" applyNumberFormat="1" applyFont="1" applyFill="1" applyBorder="1"/>
    <xf numFmtId="0" fontId="30" fillId="4" borderId="0" xfId="10" applyFont="1" applyFill="1"/>
    <xf numFmtId="0" fontId="20" fillId="4" borderId="0" xfId="2" applyFill="1" applyAlignment="1" applyProtection="1"/>
    <xf numFmtId="0" fontId="16" fillId="4" borderId="0" xfId="0" applyFont="1" applyFill="1" applyAlignment="1">
      <alignment wrapText="1"/>
    </xf>
    <xf numFmtId="0" fontId="16" fillId="4" borderId="0" xfId="0" applyFont="1" applyFill="1" applyAlignment="1">
      <alignment horizontal="left" wrapText="1"/>
    </xf>
    <xf numFmtId="0" fontId="70" fillId="61" borderId="9" xfId="0" applyFont="1" applyFill="1" applyBorder="1" applyAlignment="1">
      <alignment horizontal="center" vertical="center"/>
    </xf>
    <xf numFmtId="3" fontId="15" fillId="4" borderId="49" xfId="0" applyNumberFormat="1" applyFont="1" applyFill="1" applyBorder="1" applyAlignment="1">
      <alignment horizontal="center"/>
    </xf>
    <xf numFmtId="0" fontId="70" fillId="61" borderId="9" xfId="110" applyFont="1" applyFill="1" applyBorder="1" applyAlignment="1">
      <alignment horizontal="center" vertical="center"/>
    </xf>
    <xf numFmtId="0" fontId="70" fillId="61" borderId="16" xfId="110" applyFont="1" applyFill="1" applyBorder="1" applyAlignment="1">
      <alignment horizontal="center" vertical="center"/>
    </xf>
    <xf numFmtId="0" fontId="70" fillId="61" borderId="10" xfId="110" applyFont="1" applyFill="1" applyBorder="1" applyAlignment="1">
      <alignment horizontal="center" vertical="center"/>
    </xf>
    <xf numFmtId="3" fontId="50" fillId="0" borderId="49" xfId="0" applyNumberFormat="1" applyFont="1" applyBorder="1" applyAlignment="1">
      <alignment horizontal="center" vertical="center" wrapText="1"/>
    </xf>
    <xf numFmtId="0" fontId="51" fillId="0" borderId="58" xfId="0" applyFont="1" applyBorder="1" applyAlignment="1">
      <alignment horizontal="center" vertical="center"/>
    </xf>
    <xf numFmtId="0" fontId="51" fillId="0" borderId="60" xfId="0" applyFont="1" applyBorder="1" applyAlignment="1">
      <alignment horizontal="center" vertical="center"/>
    </xf>
    <xf numFmtId="0" fontId="70" fillId="61" borderId="23" xfId="0" applyFont="1" applyFill="1" applyBorder="1" applyAlignment="1">
      <alignment horizontal="center" vertical="center" wrapText="1"/>
    </xf>
    <xf numFmtId="0" fontId="70" fillId="61" borderId="22" xfId="0" applyFont="1" applyFill="1" applyBorder="1" applyAlignment="1">
      <alignment horizontal="center" vertical="center" wrapText="1"/>
    </xf>
    <xf numFmtId="0" fontId="70" fillId="61" borderId="7" xfId="0" applyFont="1" applyFill="1" applyBorder="1" applyAlignment="1">
      <alignment horizontal="center" vertical="center" wrapText="1"/>
    </xf>
    <xf numFmtId="0" fontId="70" fillId="61" borderId="8" xfId="0" applyFont="1" applyFill="1" applyBorder="1" applyAlignment="1">
      <alignment horizontal="center" vertical="center" wrapText="1"/>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70" fillId="61" borderId="6" xfId="110" applyFont="1" applyFill="1" applyBorder="1" applyAlignment="1">
      <alignment horizontal="center" vertical="center"/>
    </xf>
    <xf numFmtId="0" fontId="70" fillId="61" borderId="7" xfId="110" applyFont="1" applyFill="1" applyBorder="1" applyAlignment="1">
      <alignment horizontal="center" vertical="center"/>
    </xf>
    <xf numFmtId="0" fontId="70" fillId="61" borderId="8" xfId="110" applyFont="1" applyFill="1" applyBorder="1" applyAlignment="1">
      <alignment horizontal="center" vertical="center"/>
    </xf>
    <xf numFmtId="0" fontId="70" fillId="61" borderId="6" xfId="0" applyFont="1" applyFill="1" applyBorder="1" applyAlignment="1">
      <alignment horizontal="center" vertical="center" wrapText="1"/>
    </xf>
    <xf numFmtId="3" fontId="15" fillId="4" borderId="17" xfId="0" applyNumberFormat="1" applyFont="1" applyFill="1" applyBorder="1" applyAlignment="1">
      <alignment horizontal="center" vertical="center"/>
    </xf>
    <xf numFmtId="0" fontId="16" fillId="4" borderId="0" xfId="0" applyFont="1" applyFill="1" applyAlignment="1">
      <alignment vertical="top"/>
    </xf>
    <xf numFmtId="0" fontId="16" fillId="4" borderId="0" xfId="0" applyFont="1" applyFill="1"/>
    <xf numFmtId="0" fontId="16" fillId="4" borderId="0" xfId="0" applyFont="1" applyFill="1" applyAlignment="1">
      <alignment horizontal="left" vertical="top"/>
    </xf>
    <xf numFmtId="3" fontId="70" fillId="61" borderId="24" xfId="0" applyNumberFormat="1" applyFont="1" applyFill="1" applyBorder="1" applyAlignment="1">
      <alignment horizontal="center" vertical="center"/>
    </xf>
    <xf numFmtId="3" fontId="70" fillId="61" borderId="16" xfId="0" applyNumberFormat="1" applyFont="1" applyFill="1" applyBorder="1" applyAlignment="1">
      <alignment horizontal="center" vertical="center" wrapText="1"/>
    </xf>
    <xf numFmtId="164" fontId="70" fillId="61" borderId="16" xfId="0" applyNumberFormat="1" applyFont="1" applyFill="1" applyBorder="1" applyAlignment="1">
      <alignment horizontal="center" vertical="center" wrapText="1"/>
    </xf>
    <xf numFmtId="3" fontId="70" fillId="61" borderId="10" xfId="0" applyNumberFormat="1" applyFont="1" applyFill="1" applyBorder="1" applyAlignment="1">
      <alignment horizontal="center" vertical="center" wrapText="1"/>
    </xf>
    <xf numFmtId="3" fontId="12" fillId="4" borderId="58" xfId="0" applyNumberFormat="1" applyFont="1" applyFill="1" applyBorder="1" applyAlignment="1">
      <alignment horizontal="center" vertical="center"/>
    </xf>
    <xf numFmtId="3" fontId="12" fillId="4" borderId="60" xfId="0" applyNumberFormat="1" applyFont="1" applyFill="1" applyBorder="1" applyAlignment="1">
      <alignment horizontal="center" vertical="center"/>
    </xf>
    <xf numFmtId="3" fontId="12" fillId="4" borderId="62" xfId="0" applyNumberFormat="1" applyFont="1" applyFill="1" applyBorder="1" applyAlignment="1">
      <alignment horizontal="center" vertical="center"/>
    </xf>
    <xf numFmtId="4" fontId="70" fillId="61" borderId="4" xfId="0" applyNumberFormat="1" applyFont="1" applyFill="1" applyBorder="1" applyAlignment="1">
      <alignment horizontal="center" vertical="center" wrapText="1"/>
    </xf>
    <xf numFmtId="4" fontId="70" fillId="61" borderId="17" xfId="0" applyNumberFormat="1" applyFont="1" applyFill="1" applyBorder="1" applyAlignment="1">
      <alignment horizontal="center" vertical="center" wrapText="1"/>
    </xf>
    <xf numFmtId="4" fontId="70" fillId="61" borderId="36" xfId="0" applyNumberFormat="1" applyFont="1" applyFill="1" applyBorder="1" applyAlignment="1">
      <alignment horizontal="center" vertical="center" wrapText="1"/>
    </xf>
    <xf numFmtId="0" fontId="70" fillId="61" borderId="4" xfId="0" applyFont="1" applyFill="1" applyBorder="1" applyAlignment="1">
      <alignment horizontal="center" vertical="center" wrapText="1"/>
    </xf>
    <xf numFmtId="0" fontId="70" fillId="61" borderId="35" xfId="0" applyFont="1" applyFill="1" applyBorder="1" applyAlignment="1">
      <alignment horizontal="center" vertical="center" wrapText="1"/>
    </xf>
    <xf numFmtId="0" fontId="70" fillId="61" borderId="17" xfId="0" applyFont="1" applyFill="1" applyBorder="1" applyAlignment="1">
      <alignment horizontal="center" vertical="center" wrapText="1"/>
    </xf>
    <xf numFmtId="0" fontId="70" fillId="61" borderId="5" xfId="0" applyFont="1" applyFill="1" applyBorder="1" applyAlignment="1">
      <alignment horizontal="center" vertical="center" wrapText="1"/>
    </xf>
    <xf numFmtId="0" fontId="70" fillId="61" borderId="11" xfId="0" applyFont="1" applyFill="1" applyBorder="1" applyAlignment="1">
      <alignment horizontal="center" vertical="center" wrapText="1"/>
    </xf>
    <xf numFmtId="165" fontId="70" fillId="61" borderId="9" xfId="0" applyNumberFormat="1" applyFont="1" applyFill="1" applyBorder="1" applyAlignment="1">
      <alignment horizontal="center" vertical="center" wrapText="1"/>
    </xf>
    <xf numFmtId="165" fontId="70" fillId="61" borderId="16" xfId="0" applyNumberFormat="1" applyFont="1" applyFill="1" applyBorder="1" applyAlignment="1">
      <alignment horizontal="center" vertical="center" wrapText="1"/>
    </xf>
    <xf numFmtId="165" fontId="70" fillId="61" borderId="10" xfId="0" applyNumberFormat="1" applyFont="1" applyFill="1" applyBorder="1" applyAlignment="1">
      <alignment horizontal="center" vertical="center" wrapText="1"/>
    </xf>
    <xf numFmtId="166" fontId="21" fillId="4" borderId="0" xfId="0" applyNumberFormat="1" applyFont="1" applyFill="1" applyAlignment="1">
      <alignment horizontal="center" vertical="justify"/>
    </xf>
    <xf numFmtId="3" fontId="12" fillId="4" borderId="0" xfId="0" applyNumberFormat="1" applyFont="1" applyFill="1" applyAlignment="1">
      <alignment horizontal="right"/>
    </xf>
    <xf numFmtId="165" fontId="70" fillId="61" borderId="7" xfId="0" applyNumberFormat="1" applyFont="1" applyFill="1" applyBorder="1" applyAlignment="1">
      <alignment horizontal="center" vertical="center" wrapText="1"/>
    </xf>
    <xf numFmtId="165" fontId="70" fillId="61" borderId="8" xfId="0" applyNumberFormat="1" applyFont="1" applyFill="1" applyBorder="1" applyAlignment="1">
      <alignment horizontal="center" vertical="center" wrapText="1"/>
    </xf>
    <xf numFmtId="4" fontId="21" fillId="4" borderId="0" xfId="0" applyNumberFormat="1" applyFont="1" applyFill="1"/>
    <xf numFmtId="0" fontId="15" fillId="4" borderId="66" xfId="0" applyFont="1" applyFill="1" applyBorder="1" applyAlignment="1">
      <alignment horizontal="center" vertical="center" wrapText="1"/>
    </xf>
    <xf numFmtId="0" fontId="70" fillId="61" borderId="6" xfId="0" applyFont="1" applyFill="1" applyBorder="1" applyAlignment="1">
      <alignment horizontal="center" vertical="center"/>
    </xf>
    <xf numFmtId="0" fontId="73" fillId="4" borderId="0" xfId="0" applyFont="1" applyFill="1" applyAlignment="1">
      <alignment wrapText="1"/>
    </xf>
    <xf numFmtId="0" fontId="12" fillId="0" borderId="0" xfId="0" applyFont="1" applyAlignment="1">
      <alignment wrapText="1"/>
    </xf>
    <xf numFmtId="0" fontId="20" fillId="4" borderId="0" xfId="2" applyFill="1" applyBorder="1" applyAlignment="1" applyProtection="1">
      <alignment horizontal="center" vertical="center" wrapText="1"/>
    </xf>
    <xf numFmtId="0" fontId="70" fillId="61" borderId="1" xfId="0" applyFont="1" applyFill="1" applyBorder="1" applyAlignment="1">
      <alignment horizontal="center" vertical="center"/>
    </xf>
    <xf numFmtId="165" fontId="70" fillId="61" borderId="17" xfId="0" applyNumberFormat="1" applyFont="1" applyFill="1" applyBorder="1" applyAlignment="1">
      <alignment horizontal="center" vertical="center" wrapText="1"/>
    </xf>
    <xf numFmtId="165" fontId="70" fillId="61" borderId="5" xfId="0" applyNumberFormat="1" applyFont="1" applyFill="1" applyBorder="1" applyAlignment="1">
      <alignment horizontal="center" vertical="center" wrapText="1"/>
    </xf>
    <xf numFmtId="3" fontId="12" fillId="4" borderId="11" xfId="0" applyNumberFormat="1" applyFont="1" applyFill="1" applyBorder="1" applyAlignment="1">
      <alignment horizontal="center" vertical="center"/>
    </xf>
    <xf numFmtId="165" fontId="70" fillId="61" borderId="67" xfId="0" applyNumberFormat="1" applyFont="1" applyFill="1" applyBorder="1" applyAlignment="1">
      <alignment horizontal="center" vertical="center" wrapText="1"/>
    </xf>
    <xf numFmtId="3" fontId="0" fillId="0" borderId="72" xfId="0" applyNumberFormat="1" applyBorder="1" applyAlignment="1">
      <alignment horizontal="center" vertical="center"/>
    </xf>
    <xf numFmtId="3" fontId="0" fillId="0" borderId="62" xfId="0" applyNumberFormat="1" applyBorder="1" applyAlignment="1">
      <alignment horizontal="center" vertical="center"/>
    </xf>
    <xf numFmtId="3" fontId="0" fillId="0" borderId="58" xfId="0" applyNumberFormat="1" applyBorder="1" applyAlignment="1">
      <alignment horizontal="center" vertical="center"/>
    </xf>
    <xf numFmtId="3" fontId="0" fillId="4" borderId="60" xfId="0" applyNumberFormat="1" applyFill="1" applyBorder="1" applyAlignment="1">
      <alignment horizontal="center" vertical="center"/>
    </xf>
    <xf numFmtId="3" fontId="0" fillId="0" borderId="60" xfId="0" applyNumberFormat="1" applyBorder="1" applyAlignment="1">
      <alignment horizontal="center" vertical="center"/>
    </xf>
    <xf numFmtId="3" fontId="0" fillId="59" borderId="60" xfId="0" applyNumberFormat="1" applyFill="1" applyBorder="1" applyAlignment="1">
      <alignment horizontal="center" vertical="center"/>
    </xf>
    <xf numFmtId="3" fontId="12" fillId="4" borderId="84" xfId="0" applyNumberFormat="1" applyFont="1" applyFill="1" applyBorder="1" applyAlignment="1">
      <alignment horizontal="center" vertical="center"/>
    </xf>
    <xf numFmtId="3" fontId="70" fillId="61" borderId="37" xfId="0" applyNumberFormat="1" applyFont="1" applyFill="1" applyBorder="1" applyAlignment="1">
      <alignment horizontal="center" vertical="center" wrapText="1"/>
    </xf>
    <xf numFmtId="4" fontId="30" fillId="0" borderId="71" xfId="0" applyNumberFormat="1" applyFont="1" applyBorder="1"/>
    <xf numFmtId="4" fontId="30" fillId="0" borderId="76" xfId="0" applyNumberFormat="1" applyFont="1" applyBorder="1"/>
    <xf numFmtId="4" fontId="30" fillId="0" borderId="85" xfId="0" applyNumberFormat="1" applyFont="1" applyBorder="1"/>
    <xf numFmtId="4" fontId="47" fillId="59" borderId="87" xfId="0" applyNumberFormat="1" applyFont="1" applyFill="1" applyBorder="1" applyAlignment="1">
      <alignment horizontal="center" vertical="center"/>
    </xf>
    <xf numFmtId="4" fontId="30" fillId="0" borderId="86" xfId="0" applyNumberFormat="1" applyFont="1" applyBorder="1" applyAlignment="1">
      <alignment horizontal="center" vertical="center"/>
    </xf>
    <xf numFmtId="3" fontId="12" fillId="4" borderId="79" xfId="0" applyNumberFormat="1" applyFont="1" applyFill="1" applyBorder="1" applyAlignment="1">
      <alignment horizontal="center" vertical="center"/>
    </xf>
    <xf numFmtId="4" fontId="47" fillId="59" borderId="72" xfId="0" applyNumberFormat="1" applyFont="1" applyFill="1" applyBorder="1" applyAlignment="1">
      <alignment horizontal="center" vertical="center"/>
    </xf>
    <xf numFmtId="4" fontId="47" fillId="59" borderId="60" xfId="0" applyNumberFormat="1" applyFont="1" applyFill="1" applyBorder="1" applyAlignment="1">
      <alignment horizontal="center" vertical="center"/>
    </xf>
    <xf numFmtId="164" fontId="0" fillId="59" borderId="60" xfId="0" applyNumberFormat="1" applyFill="1" applyBorder="1" applyAlignment="1">
      <alignment horizontal="center" vertical="center"/>
    </xf>
    <xf numFmtId="164" fontId="12" fillId="4" borderId="0" xfId="0" applyNumberFormat="1" applyFont="1" applyFill="1"/>
    <xf numFmtId="0" fontId="12" fillId="4" borderId="76" xfId="0" applyFont="1" applyFill="1" applyBorder="1" applyAlignment="1">
      <alignment horizontal="center" vertical="center" wrapText="1"/>
    </xf>
    <xf numFmtId="0" fontId="0" fillId="4" borderId="64" xfId="0" applyFill="1" applyBorder="1"/>
    <xf numFmtId="3" fontId="15" fillId="4" borderId="11" xfId="0" applyNumberFormat="1" applyFont="1" applyFill="1" applyBorder="1" applyAlignment="1">
      <alignment horizontal="right" vertical="center"/>
    </xf>
    <xf numFmtId="3" fontId="12" fillId="4" borderId="92" xfId="0" applyNumberFormat="1" applyFont="1" applyFill="1" applyBorder="1" applyAlignment="1">
      <alignment horizontal="center" vertical="center"/>
    </xf>
    <xf numFmtId="3" fontId="30" fillId="0" borderId="72" xfId="0" applyNumberFormat="1" applyFont="1" applyBorder="1" applyAlignment="1">
      <alignment horizontal="center" vertical="center" wrapText="1"/>
    </xf>
    <xf numFmtId="3" fontId="12" fillId="4" borderId="93" xfId="0" applyNumberFormat="1" applyFont="1" applyFill="1" applyBorder="1" applyAlignment="1">
      <alignment horizontal="center" vertical="center"/>
    </xf>
    <xf numFmtId="3" fontId="30" fillId="0" borderId="60" xfId="0" applyNumberFormat="1" applyFont="1" applyBorder="1" applyAlignment="1">
      <alignment horizontal="center" vertical="center" wrapText="1"/>
    </xf>
    <xf numFmtId="0" fontId="12" fillId="4" borderId="71" xfId="0" applyFont="1" applyFill="1" applyBorder="1" applyAlignment="1">
      <alignment horizontal="center" vertical="center"/>
    </xf>
    <xf numFmtId="0" fontId="12" fillId="4" borderId="76" xfId="0" applyFont="1" applyFill="1" applyBorder="1" applyAlignment="1">
      <alignment horizontal="center" vertical="center"/>
    </xf>
    <xf numFmtId="0" fontId="12" fillId="0" borderId="74" xfId="0" applyFont="1" applyBorder="1" applyAlignment="1">
      <alignment horizontal="center" vertical="center"/>
    </xf>
    <xf numFmtId="3" fontId="47" fillId="0" borderId="4" xfId="0" applyNumberFormat="1" applyFont="1" applyBorder="1" applyAlignment="1">
      <alignment horizontal="center" vertical="center"/>
    </xf>
    <xf numFmtId="3" fontId="47" fillId="0" borderId="17" xfId="0" applyNumberFormat="1" applyFont="1" applyBorder="1" applyAlignment="1">
      <alignment horizontal="center" vertical="center"/>
    </xf>
    <xf numFmtId="0" fontId="70" fillId="61" borderId="39" xfId="0" applyFont="1" applyFill="1" applyBorder="1" applyAlignment="1">
      <alignment horizontal="center" vertical="center" wrapText="1"/>
    </xf>
    <xf numFmtId="10" fontId="12" fillId="0" borderId="72" xfId="0" applyNumberFormat="1" applyFont="1" applyBorder="1" applyAlignment="1">
      <alignment horizontal="center" vertical="center"/>
    </xf>
    <xf numFmtId="10" fontId="12" fillId="0" borderId="60" xfId="0" applyNumberFormat="1" applyFont="1" applyBorder="1" applyAlignment="1">
      <alignment horizontal="center" vertical="center"/>
    </xf>
    <xf numFmtId="0" fontId="0" fillId="59" borderId="5" xfId="0" applyFill="1" applyBorder="1"/>
    <xf numFmtId="0" fontId="15" fillId="4" borderId="4" xfId="0" applyFont="1" applyFill="1" applyBorder="1" applyAlignment="1">
      <alignment horizontal="center"/>
    </xf>
    <xf numFmtId="0" fontId="15" fillId="4" borderId="9" xfId="0" applyFont="1" applyFill="1" applyBorder="1" applyAlignment="1">
      <alignment horizontal="left" vertical="top" wrapText="1"/>
    </xf>
    <xf numFmtId="0" fontId="15" fillId="4" borderId="11" xfId="0" applyFont="1" applyFill="1" applyBorder="1" applyAlignment="1">
      <alignment horizontal="left" vertical="top" wrapText="1"/>
    </xf>
    <xf numFmtId="0" fontId="16" fillId="35" borderId="51" xfId="19" applyFont="1" applyFill="1" applyBorder="1" applyAlignment="1">
      <alignment vertical="top"/>
    </xf>
    <xf numFmtId="0" fontId="19" fillId="35" borderId="0" xfId="19" applyFont="1" applyFill="1"/>
    <xf numFmtId="0" fontId="19" fillId="35" borderId="0" xfId="19" applyFont="1" applyFill="1" applyAlignment="1">
      <alignment horizontal="center" wrapText="1"/>
    </xf>
    <xf numFmtId="0" fontId="18" fillId="35" borderId="0" xfId="19" applyFont="1" applyFill="1"/>
    <xf numFmtId="0" fontId="18" fillId="35" borderId="51" xfId="19" applyFont="1" applyFill="1" applyBorder="1"/>
    <xf numFmtId="37" fontId="19" fillId="35" borderId="0" xfId="19" applyNumberFormat="1" applyFont="1" applyFill="1" applyAlignment="1">
      <alignment horizontal="center" wrapText="1"/>
    </xf>
    <xf numFmtId="3" fontId="30" fillId="41" borderId="62" xfId="3" applyNumberFormat="1" applyFont="1" applyFill="1" applyBorder="1" applyAlignment="1">
      <alignment horizontal="center" vertical="center"/>
    </xf>
    <xf numFmtId="3" fontId="30" fillId="41" borderId="63" xfId="3" applyNumberFormat="1" applyFont="1" applyFill="1" applyBorder="1" applyAlignment="1">
      <alignment horizontal="center" vertical="center"/>
    </xf>
    <xf numFmtId="9" fontId="72" fillId="35" borderId="0" xfId="3" applyFont="1" applyFill="1" applyBorder="1"/>
    <xf numFmtId="0" fontId="70" fillId="60" borderId="17" xfId="19" applyFont="1" applyFill="1" applyBorder="1" applyAlignment="1">
      <alignment horizontal="center" vertical="center"/>
    </xf>
    <xf numFmtId="0" fontId="70" fillId="60" borderId="5" xfId="19" applyFont="1" applyFill="1" applyBorder="1" applyAlignment="1">
      <alignment horizontal="center" vertical="center" wrapText="1"/>
    </xf>
    <xf numFmtId="9" fontId="30" fillId="38" borderId="58" xfId="3" applyFont="1" applyFill="1" applyBorder="1" applyAlignment="1">
      <alignment horizontal="center" vertical="center"/>
    </xf>
    <xf numFmtId="3" fontId="30" fillId="38" borderId="58" xfId="3" applyNumberFormat="1" applyFont="1" applyFill="1" applyBorder="1" applyAlignment="1">
      <alignment horizontal="center" vertical="center"/>
    </xf>
    <xf numFmtId="3" fontId="30" fillId="39" borderId="58" xfId="3" applyNumberFormat="1" applyFont="1" applyFill="1" applyBorder="1" applyAlignment="1">
      <alignment horizontal="center" vertical="center"/>
    </xf>
    <xf numFmtId="3" fontId="30" fillId="39" borderId="59" xfId="3" applyNumberFormat="1" applyFont="1" applyFill="1" applyBorder="1" applyAlignment="1">
      <alignment horizontal="center" vertical="center"/>
    </xf>
    <xf numFmtId="9" fontId="30" fillId="38" borderId="60" xfId="3" applyFont="1" applyFill="1" applyBorder="1" applyAlignment="1">
      <alignment horizontal="center" vertical="center"/>
    </xf>
    <xf numFmtId="3" fontId="30" fillId="38" borderId="60" xfId="3" applyNumberFormat="1" applyFont="1" applyFill="1" applyBorder="1" applyAlignment="1">
      <alignment horizontal="center" vertical="center"/>
    </xf>
    <xf numFmtId="3" fontId="30" fillId="39" borderId="60" xfId="3" applyNumberFormat="1" applyFont="1" applyFill="1" applyBorder="1" applyAlignment="1">
      <alignment horizontal="center" vertical="center"/>
    </xf>
    <xf numFmtId="3" fontId="30" fillId="39" borderId="61" xfId="3" applyNumberFormat="1" applyFont="1" applyFill="1" applyBorder="1" applyAlignment="1">
      <alignment horizontal="center" vertical="center"/>
    </xf>
    <xf numFmtId="9" fontId="30" fillId="40" borderId="72" xfId="3" applyFont="1" applyFill="1" applyBorder="1" applyAlignment="1">
      <alignment horizontal="center" vertical="center"/>
    </xf>
    <xf numFmtId="3" fontId="30" fillId="40" borderId="72" xfId="3" applyNumberFormat="1" applyFont="1" applyFill="1" applyBorder="1" applyAlignment="1">
      <alignment horizontal="center" vertical="center"/>
    </xf>
    <xf numFmtId="3" fontId="30" fillId="40" borderId="73" xfId="3" applyNumberFormat="1" applyFont="1" applyFill="1" applyBorder="1" applyAlignment="1">
      <alignment horizontal="center" vertical="center"/>
    </xf>
    <xf numFmtId="0" fontId="30" fillId="40" borderId="62" xfId="19" applyFont="1" applyFill="1" applyBorder="1" applyAlignment="1">
      <alignment horizontal="center" vertical="center"/>
    </xf>
    <xf numFmtId="3" fontId="30" fillId="40" borderId="62" xfId="3" applyNumberFormat="1" applyFont="1" applyFill="1" applyBorder="1" applyAlignment="1">
      <alignment horizontal="center" vertical="center"/>
    </xf>
    <xf numFmtId="3" fontId="30" fillId="40" borderId="63" xfId="3" applyNumberFormat="1" applyFont="1" applyFill="1" applyBorder="1" applyAlignment="1">
      <alignment horizontal="center" vertical="center"/>
    </xf>
    <xf numFmtId="9" fontId="30" fillId="41" borderId="72" xfId="3" applyFont="1" applyFill="1" applyBorder="1" applyAlignment="1">
      <alignment horizontal="center" vertical="center"/>
    </xf>
    <xf numFmtId="3" fontId="30" fillId="41" borderId="72" xfId="3" applyNumberFormat="1" applyFont="1" applyFill="1" applyBorder="1" applyAlignment="1">
      <alignment horizontal="center" vertical="center"/>
    </xf>
    <xf numFmtId="3" fontId="30" fillId="41" borderId="73" xfId="3" applyNumberFormat="1" applyFont="1" applyFill="1" applyBorder="1" applyAlignment="1">
      <alignment horizontal="center" vertical="center"/>
    </xf>
    <xf numFmtId="9" fontId="30" fillId="41" borderId="60" xfId="3" applyFont="1" applyFill="1" applyBorder="1" applyAlignment="1">
      <alignment horizontal="center" vertical="center"/>
    </xf>
    <xf numFmtId="3" fontId="30" fillId="41" borderId="60" xfId="3" applyNumberFormat="1" applyFont="1" applyFill="1" applyBorder="1" applyAlignment="1">
      <alignment horizontal="center" vertical="center"/>
    </xf>
    <xf numFmtId="3" fontId="30" fillId="41" borderId="61" xfId="3" applyNumberFormat="1" applyFont="1" applyFill="1" applyBorder="1" applyAlignment="1">
      <alignment horizontal="center" vertical="center"/>
    </xf>
    <xf numFmtId="9" fontId="30" fillId="41" borderId="62" xfId="3" applyFont="1" applyFill="1" applyBorder="1" applyAlignment="1">
      <alignment horizontal="center" vertical="center"/>
    </xf>
    <xf numFmtId="0" fontId="12" fillId="39" borderId="58" xfId="19" applyFill="1" applyBorder="1" applyAlignment="1">
      <alignment horizontal="center" vertical="center" wrapText="1"/>
    </xf>
    <xf numFmtId="3" fontId="12" fillId="39" borderId="58" xfId="19" applyNumberFormat="1" applyFill="1" applyBorder="1" applyAlignment="1">
      <alignment horizontal="center" vertical="center" wrapText="1"/>
    </xf>
    <xf numFmtId="3" fontId="19" fillId="35" borderId="0" xfId="19" applyNumberFormat="1" applyFont="1" applyFill="1" applyAlignment="1">
      <alignment horizontal="center" wrapText="1"/>
    </xf>
    <xf numFmtId="0" fontId="12" fillId="39" borderId="60" xfId="19" applyFill="1" applyBorder="1" applyAlignment="1">
      <alignment horizontal="center" vertical="center" wrapText="1"/>
    </xf>
    <xf numFmtId="3" fontId="12" fillId="39" borderId="60" xfId="19" applyNumberFormat="1" applyFill="1" applyBorder="1" applyAlignment="1">
      <alignment horizontal="center" vertical="center" wrapText="1"/>
    </xf>
    <xf numFmtId="0" fontId="12" fillId="39" borderId="62" xfId="19" applyFill="1" applyBorder="1" applyAlignment="1">
      <alignment horizontal="center" vertical="center" wrapText="1"/>
    </xf>
    <xf numFmtId="3" fontId="12" fillId="39" borderId="62" xfId="19" applyNumberFormat="1" applyFill="1" applyBorder="1" applyAlignment="1">
      <alignment horizontal="center" vertical="center" wrapText="1"/>
    </xf>
    <xf numFmtId="0" fontId="12" fillId="39" borderId="72" xfId="19" applyFill="1" applyBorder="1" applyAlignment="1">
      <alignment horizontal="center" vertical="center" wrapText="1"/>
    </xf>
    <xf numFmtId="3" fontId="12" fillId="39" borderId="72" xfId="19" applyNumberFormat="1" applyFill="1" applyBorder="1" applyAlignment="1">
      <alignment horizontal="center" vertical="center" wrapText="1"/>
    </xf>
    <xf numFmtId="0" fontId="12" fillId="39" borderId="78" xfId="19" applyFill="1" applyBorder="1" applyAlignment="1">
      <alignment horizontal="center" vertical="center" wrapText="1"/>
    </xf>
    <xf numFmtId="3" fontId="12" fillId="39" borderId="78" xfId="19" applyNumberFormat="1" applyFill="1" applyBorder="1" applyAlignment="1">
      <alignment horizontal="center" vertical="center" wrapText="1"/>
    </xf>
    <xf numFmtId="0" fontId="12" fillId="40" borderId="80" xfId="19" applyFill="1" applyBorder="1" applyAlignment="1">
      <alignment horizontal="center" wrapText="1"/>
    </xf>
    <xf numFmtId="0" fontId="12" fillId="40" borderId="60" xfId="19" applyFill="1" applyBorder="1" applyAlignment="1">
      <alignment horizontal="center" wrapText="1"/>
    </xf>
    <xf numFmtId="0" fontId="12" fillId="40" borderId="62" xfId="19" applyFill="1" applyBorder="1" applyAlignment="1">
      <alignment horizontal="center" wrapText="1"/>
    </xf>
    <xf numFmtId="0" fontId="12" fillId="40" borderId="72" xfId="19" applyFill="1" applyBorder="1" applyAlignment="1">
      <alignment horizontal="center" wrapText="1"/>
    </xf>
    <xf numFmtId="37" fontId="12" fillId="36" borderId="61" xfId="15" applyNumberFormat="1" applyFont="1" applyFill="1" applyBorder="1" applyAlignment="1">
      <alignment horizontal="center" vertical="center" wrapText="1"/>
    </xf>
    <xf numFmtId="37" fontId="12" fillId="36" borderId="63" xfId="15" applyNumberFormat="1" applyFont="1" applyFill="1" applyBorder="1" applyAlignment="1">
      <alignment horizontal="center" vertical="center" wrapText="1"/>
    </xf>
    <xf numFmtId="0" fontId="12" fillId="41" borderId="16" xfId="19" applyFill="1" applyBorder="1" applyAlignment="1">
      <alignment horizontal="center" vertical="center"/>
    </xf>
    <xf numFmtId="0" fontId="12" fillId="41" borderId="16" xfId="19" applyFill="1" applyBorder="1" applyAlignment="1">
      <alignment horizontal="center" wrapText="1"/>
    </xf>
    <xf numFmtId="0" fontId="19" fillId="35" borderId="0" xfId="19" applyFont="1" applyFill="1" applyAlignment="1">
      <alignment wrapText="1"/>
    </xf>
    <xf numFmtId="2" fontId="19" fillId="35" borderId="0" xfId="19" applyNumberFormat="1" applyFont="1" applyFill="1" applyAlignment="1">
      <alignment horizontal="center" wrapText="1"/>
    </xf>
    <xf numFmtId="167" fontId="19" fillId="35" borderId="0" xfId="19" applyNumberFormat="1" applyFont="1" applyFill="1" applyAlignment="1">
      <alignment horizontal="center" wrapText="1"/>
    </xf>
    <xf numFmtId="0" fontId="19" fillId="35" borderId="0" xfId="19" applyFont="1" applyFill="1" applyAlignment="1">
      <alignment horizontal="center" vertical="center" wrapText="1"/>
    </xf>
    <xf numFmtId="0" fontId="78" fillId="35" borderId="0" xfId="19" applyFont="1" applyFill="1" applyAlignment="1">
      <alignment vertical="center"/>
    </xf>
    <xf numFmtId="3" fontId="30" fillId="62" borderId="7" xfId="3" applyNumberFormat="1" applyFont="1" applyFill="1" applyBorder="1" applyAlignment="1">
      <alignment horizontal="center" vertical="center"/>
    </xf>
    <xf numFmtId="9" fontId="12" fillId="35" borderId="0" xfId="3" applyFont="1" applyFill="1" applyBorder="1" applyAlignment="1">
      <alignment horizontal="center" wrapText="1"/>
    </xf>
    <xf numFmtId="166" fontId="12" fillId="35" borderId="0" xfId="3" applyNumberFormat="1" applyFont="1" applyFill="1" applyBorder="1" applyAlignment="1">
      <alignment horizontal="center" wrapText="1"/>
    </xf>
    <xf numFmtId="166" fontId="12" fillId="35" borderId="0" xfId="19" applyNumberFormat="1" applyFill="1" applyAlignment="1">
      <alignment horizontal="center" wrapText="1"/>
    </xf>
    <xf numFmtId="0" fontId="19" fillId="0" borderId="0" xfId="0" applyFont="1" applyAlignment="1">
      <alignment vertical="center" wrapText="1"/>
    </xf>
    <xf numFmtId="0" fontId="79" fillId="35" borderId="0" xfId="19" applyFont="1" applyFill="1" applyAlignment="1">
      <alignment vertical="center"/>
    </xf>
    <xf numFmtId="0" fontId="15" fillId="4" borderId="6" xfId="0" applyFont="1" applyFill="1" applyBorder="1" applyAlignment="1">
      <alignment horizontal="left" vertical="top" wrapText="1"/>
    </xf>
    <xf numFmtId="0" fontId="12" fillId="0" borderId="57" xfId="0" applyFont="1" applyBorder="1" applyAlignment="1">
      <alignment horizontal="center" vertical="center"/>
    </xf>
    <xf numFmtId="0" fontId="12" fillId="0" borderId="68" xfId="0" applyFont="1" applyBorder="1" applyAlignment="1">
      <alignment horizontal="center" vertical="center"/>
    </xf>
    <xf numFmtId="0" fontId="12" fillId="4" borderId="0" xfId="0" applyFont="1" applyFill="1" applyAlignment="1">
      <alignment horizontal="center" vertical="center"/>
    </xf>
    <xf numFmtId="3" fontId="12" fillId="4" borderId="96" xfId="0" applyNumberFormat="1" applyFont="1" applyFill="1" applyBorder="1" applyAlignment="1">
      <alignment horizontal="center" vertical="center"/>
    </xf>
    <xf numFmtId="3" fontId="12" fillId="4" borderId="80" xfId="0" applyNumberFormat="1" applyFont="1" applyFill="1" applyBorder="1" applyAlignment="1">
      <alignment horizontal="center" vertical="center"/>
    </xf>
    <xf numFmtId="0" fontId="70" fillId="61" borderId="1" xfId="0" applyFont="1" applyFill="1" applyBorder="1" applyAlignment="1">
      <alignment horizontal="center" vertical="center" wrapText="1"/>
    </xf>
    <xf numFmtId="3" fontId="12" fillId="4" borderId="77" xfId="0" applyNumberFormat="1" applyFont="1" applyFill="1" applyBorder="1" applyAlignment="1">
      <alignment horizontal="center" vertical="center"/>
    </xf>
    <xf numFmtId="3" fontId="12" fillId="4" borderId="78" xfId="0" applyNumberFormat="1" applyFont="1" applyFill="1" applyBorder="1" applyAlignment="1">
      <alignment horizontal="center" vertical="center"/>
    </xf>
    <xf numFmtId="0" fontId="15" fillId="0" borderId="70" xfId="0" applyFont="1" applyBorder="1" applyAlignment="1">
      <alignment horizontal="center" vertical="center" wrapText="1"/>
    </xf>
    <xf numFmtId="0" fontId="12" fillId="0" borderId="105" xfId="0" applyFont="1" applyBorder="1" applyAlignment="1">
      <alignment horizontal="center" vertical="center" wrapText="1"/>
    </xf>
    <xf numFmtId="0" fontId="12" fillId="0" borderId="106" xfId="0" applyFont="1" applyBorder="1" applyAlignment="1">
      <alignment horizontal="center" vertical="center" wrapText="1"/>
    </xf>
    <xf numFmtId="0" fontId="0" fillId="4" borderId="0" xfId="0" applyFill="1" applyAlignment="1">
      <alignment horizontal="center"/>
    </xf>
    <xf numFmtId="2" fontId="0" fillId="4" borderId="0" xfId="0" applyNumberFormat="1" applyFill="1" applyAlignment="1">
      <alignment horizontal="center"/>
    </xf>
    <xf numFmtId="0" fontId="70" fillId="60" borderId="21" xfId="19" applyFont="1" applyFill="1" applyBorder="1" applyAlignment="1">
      <alignment horizontal="center" vertical="center" wrapText="1"/>
    </xf>
    <xf numFmtId="0" fontId="12" fillId="4" borderId="71" xfId="0" applyFont="1" applyFill="1" applyBorder="1" applyAlignment="1">
      <alignment horizontal="center" vertical="center" wrapText="1"/>
    </xf>
    <xf numFmtId="0" fontId="12" fillId="4" borderId="73" xfId="0" applyFont="1" applyFill="1" applyBorder="1" applyAlignment="1">
      <alignment horizontal="center" vertical="center" wrapText="1"/>
    </xf>
    <xf numFmtId="0" fontId="20" fillId="4" borderId="61" xfId="2" applyFill="1" applyBorder="1" applyAlignment="1" applyProtection="1">
      <alignment horizontal="center" vertical="center" wrapText="1"/>
    </xf>
    <xf numFmtId="0" fontId="12" fillId="4" borderId="61" xfId="0" applyFont="1" applyFill="1" applyBorder="1" applyAlignment="1">
      <alignment horizontal="center" vertical="center" wrapText="1"/>
    </xf>
    <xf numFmtId="0" fontId="70" fillId="61" borderId="36" xfId="0" applyFont="1" applyFill="1" applyBorder="1" applyAlignment="1">
      <alignment horizontal="center" vertical="center" wrapText="1"/>
    </xf>
    <xf numFmtId="3" fontId="0" fillId="0" borderId="108" xfId="0" applyNumberFormat="1" applyBorder="1" applyAlignment="1">
      <alignment horizontal="center" vertical="center"/>
    </xf>
    <xf numFmtId="4" fontId="70" fillId="61" borderId="9" xfId="0" applyNumberFormat="1" applyFont="1" applyFill="1" applyBorder="1" applyAlignment="1">
      <alignment horizontal="center" vertical="center" wrapText="1"/>
    </xf>
    <xf numFmtId="4" fontId="30" fillId="0" borderId="60" xfId="0" applyNumberFormat="1" applyFont="1" applyBorder="1" applyAlignment="1">
      <alignment horizontal="center" vertical="center"/>
    </xf>
    <xf numFmtId="4" fontId="30" fillId="0" borderId="96" xfId="0" applyNumberFormat="1" applyFont="1" applyBorder="1"/>
    <xf numFmtId="4" fontId="47" fillId="0" borderId="9" xfId="0" applyNumberFormat="1" applyFont="1" applyBorder="1"/>
    <xf numFmtId="4" fontId="30" fillId="59" borderId="34" xfId="0" applyNumberFormat="1" applyFont="1" applyFill="1" applyBorder="1" applyAlignment="1">
      <alignment horizontal="center" vertical="center"/>
    </xf>
    <xf numFmtId="4" fontId="47" fillId="59" borderId="16" xfId="0" applyNumberFormat="1" applyFont="1" applyFill="1" applyBorder="1" applyAlignment="1">
      <alignment horizontal="center" vertical="center"/>
    </xf>
    <xf numFmtId="4" fontId="47" fillId="59" borderId="10" xfId="0" applyNumberFormat="1" applyFont="1" applyFill="1" applyBorder="1" applyAlignment="1">
      <alignment horizontal="center" vertical="center"/>
    </xf>
    <xf numFmtId="0" fontId="70" fillId="61" borderId="109" xfId="0" applyFont="1" applyFill="1" applyBorder="1" applyAlignment="1">
      <alignment horizontal="center" vertical="center" wrapText="1"/>
    </xf>
    <xf numFmtId="3" fontId="47" fillId="0" borderId="36" xfId="0" applyNumberFormat="1" applyFont="1" applyBorder="1" applyAlignment="1">
      <alignment horizontal="center" vertical="center"/>
    </xf>
    <xf numFmtId="170" fontId="47" fillId="0" borderId="36" xfId="0" applyNumberFormat="1" applyFont="1" applyBorder="1" applyAlignment="1">
      <alignment horizontal="center" vertical="center"/>
    </xf>
    <xf numFmtId="170" fontId="47" fillId="0" borderId="5" xfId="0" applyNumberFormat="1" applyFont="1" applyBorder="1" applyAlignment="1">
      <alignment horizontal="center" vertical="center"/>
    </xf>
    <xf numFmtId="3" fontId="70" fillId="61" borderId="34" xfId="0" applyNumberFormat="1" applyFont="1" applyFill="1" applyBorder="1" applyAlignment="1">
      <alignment horizontal="center" vertical="center" wrapText="1"/>
    </xf>
    <xf numFmtId="0" fontId="70" fillId="61" borderId="109" xfId="110" applyFont="1" applyFill="1" applyBorder="1" applyAlignment="1">
      <alignment horizontal="center" vertical="center"/>
    </xf>
    <xf numFmtId="176" fontId="70" fillId="61" borderId="109" xfId="110" applyNumberFormat="1" applyFont="1" applyFill="1" applyBorder="1" applyAlignment="1">
      <alignment horizontal="center" vertical="center"/>
    </xf>
    <xf numFmtId="0" fontId="70" fillId="63" borderId="16" xfId="0" applyFont="1" applyFill="1" applyBorder="1" applyAlignment="1">
      <alignment horizontal="center" vertical="center" wrapText="1"/>
    </xf>
    <xf numFmtId="0" fontId="70" fillId="64" borderId="16" xfId="0" applyFont="1" applyFill="1" applyBorder="1" applyAlignment="1">
      <alignment horizontal="center" vertical="center" wrapText="1"/>
    </xf>
    <xf numFmtId="0" fontId="70" fillId="65" borderId="16" xfId="0" applyFont="1" applyFill="1" applyBorder="1" applyAlignment="1">
      <alignment horizontal="center" vertical="center" wrapText="1"/>
    </xf>
    <xf numFmtId="0" fontId="12" fillId="4" borderId="66" xfId="0" applyFont="1" applyFill="1" applyBorder="1" applyAlignment="1">
      <alignment horizontal="center" vertical="center" wrapText="1"/>
    </xf>
    <xf numFmtId="0" fontId="20" fillId="4" borderId="91" xfId="2" applyNumberFormat="1" applyFill="1" applyBorder="1" applyAlignment="1" applyProtection="1">
      <alignment horizontal="center" vertical="center" wrapText="1"/>
    </xf>
    <xf numFmtId="3" fontId="51" fillId="0" borderId="78" xfId="0" applyNumberFormat="1" applyFont="1" applyBorder="1" applyAlignment="1">
      <alignment horizontal="center" vertical="center"/>
    </xf>
    <xf numFmtId="0" fontId="12" fillId="4" borderId="85" xfId="0" applyFont="1" applyFill="1" applyBorder="1" applyAlignment="1">
      <alignment horizontal="center" vertical="center"/>
    </xf>
    <xf numFmtId="3" fontId="30" fillId="0" borderId="60" xfId="0" applyNumberFormat="1" applyFont="1" applyBorder="1" applyAlignment="1">
      <alignment horizontal="center" vertical="center"/>
    </xf>
    <xf numFmtId="3" fontId="30" fillId="0" borderId="60" xfId="3" applyNumberFormat="1" applyFont="1" applyFill="1" applyBorder="1" applyAlignment="1">
      <alignment horizontal="center" vertical="center"/>
    </xf>
    <xf numFmtId="170" fontId="30" fillId="0" borderId="60" xfId="0" applyNumberFormat="1" applyFont="1" applyBorder="1" applyAlignment="1">
      <alignment horizontal="center" vertical="center"/>
    </xf>
    <xf numFmtId="3" fontId="30" fillId="0" borderId="86" xfId="0" applyNumberFormat="1" applyFont="1" applyBorder="1" applyAlignment="1">
      <alignment horizontal="center" vertical="center"/>
    </xf>
    <xf numFmtId="3" fontId="30" fillId="0" borderId="86" xfId="3" applyNumberFormat="1" applyFont="1" applyFill="1" applyBorder="1" applyAlignment="1">
      <alignment horizontal="center" vertical="center"/>
    </xf>
    <xf numFmtId="3" fontId="12" fillId="0" borderId="86" xfId="0" applyNumberFormat="1" applyFont="1" applyBorder="1" applyAlignment="1">
      <alignment horizontal="center" vertical="center"/>
    </xf>
    <xf numFmtId="170" fontId="30" fillId="0" borderId="72" xfId="0" applyNumberFormat="1" applyFont="1" applyBorder="1" applyAlignment="1">
      <alignment horizontal="center" vertical="center"/>
    </xf>
    <xf numFmtId="3" fontId="30" fillId="4" borderId="72" xfId="0" applyNumberFormat="1" applyFont="1" applyFill="1" applyBorder="1" applyAlignment="1">
      <alignment horizontal="center" vertical="center"/>
    </xf>
    <xf numFmtId="4" fontId="30" fillId="4" borderId="86" xfId="0" applyNumberFormat="1" applyFont="1" applyFill="1" applyBorder="1" applyAlignment="1">
      <alignment horizontal="center" vertical="center"/>
    </xf>
    <xf numFmtId="3" fontId="12" fillId="4" borderId="86" xfId="0" applyNumberFormat="1" applyFont="1" applyFill="1" applyBorder="1" applyAlignment="1">
      <alignment horizontal="center" vertical="center"/>
    </xf>
    <xf numFmtId="164" fontId="70" fillId="61" borderId="10" xfId="0" applyNumberFormat="1" applyFont="1" applyFill="1" applyBorder="1" applyAlignment="1">
      <alignment horizontal="center" vertical="center" wrapText="1"/>
    </xf>
    <xf numFmtId="164" fontId="70" fillId="61" borderId="34" xfId="0" applyNumberFormat="1" applyFont="1" applyFill="1" applyBorder="1" applyAlignment="1">
      <alignment horizontal="center" vertical="center" wrapText="1"/>
    </xf>
    <xf numFmtId="4" fontId="47" fillId="0" borderId="17" xfId="0" applyNumberFormat="1" applyFont="1" applyBorder="1" applyAlignment="1">
      <alignment horizontal="center" vertical="center"/>
    </xf>
    <xf numFmtId="171" fontId="12" fillId="0" borderId="11" xfId="0" applyNumberFormat="1" applyFont="1" applyBorder="1" applyAlignment="1">
      <alignment horizontal="center" vertical="center"/>
    </xf>
    <xf numFmtId="0" fontId="12" fillId="4" borderId="23" xfId="0" applyFont="1" applyFill="1" applyBorder="1" applyAlignment="1">
      <alignment horizontal="center" vertical="center" wrapText="1"/>
    </xf>
    <xf numFmtId="0" fontId="12" fillId="4" borderId="38" xfId="0" applyFont="1" applyFill="1" applyBorder="1" applyAlignment="1">
      <alignment horizontal="center" vertical="center" wrapText="1"/>
    </xf>
    <xf numFmtId="170" fontId="12" fillId="0" borderId="60" xfId="0" applyNumberFormat="1" applyFont="1" applyBorder="1" applyAlignment="1">
      <alignment horizontal="center" vertical="center"/>
    </xf>
    <xf numFmtId="170" fontId="0" fillId="4" borderId="60" xfId="0" applyNumberFormat="1" applyFill="1" applyBorder="1" applyAlignment="1">
      <alignment horizontal="center" vertical="center"/>
    </xf>
    <xf numFmtId="4" fontId="0" fillId="4" borderId="60" xfId="0" applyNumberFormat="1" applyFill="1" applyBorder="1" applyAlignment="1">
      <alignment horizontal="center" vertical="center"/>
    </xf>
    <xf numFmtId="3" fontId="12" fillId="0" borderId="60" xfId="0" applyNumberFormat="1" applyFont="1" applyBorder="1" applyAlignment="1">
      <alignment horizontal="center" vertical="center"/>
    </xf>
    <xf numFmtId="3" fontId="12" fillId="0" borderId="58" xfId="0" applyNumberFormat="1" applyFont="1" applyBorder="1" applyAlignment="1">
      <alignment horizontal="center" vertical="center"/>
    </xf>
    <xf numFmtId="170" fontId="12" fillId="0" borderId="61" xfId="0" applyNumberFormat="1" applyFont="1" applyBorder="1" applyAlignment="1">
      <alignment horizontal="center" vertical="center"/>
    </xf>
    <xf numFmtId="170" fontId="12" fillId="0" borderId="59" xfId="0" applyNumberFormat="1" applyFont="1" applyBorder="1" applyAlignment="1">
      <alignment horizontal="center" vertical="center"/>
    </xf>
    <xf numFmtId="164" fontId="70" fillId="61" borderId="9" xfId="0" applyNumberFormat="1" applyFont="1" applyFill="1" applyBorder="1" applyAlignment="1">
      <alignment horizontal="center" vertical="center" wrapText="1"/>
    </xf>
    <xf numFmtId="3" fontId="0" fillId="59" borderId="71" xfId="0" applyNumberFormat="1" applyFill="1" applyBorder="1" applyAlignment="1">
      <alignment horizontal="center" vertical="center"/>
    </xf>
    <xf numFmtId="3" fontId="0" fillId="59" borderId="73" xfId="0" applyNumberFormat="1" applyFill="1" applyBorder="1" applyAlignment="1">
      <alignment horizontal="center" vertical="center"/>
    </xf>
    <xf numFmtId="170" fontId="0" fillId="0" borderId="76" xfId="0" applyNumberFormat="1" applyBorder="1" applyAlignment="1">
      <alignment horizontal="center" vertical="center"/>
    </xf>
    <xf numFmtId="170" fontId="0" fillId="0" borderId="61" xfId="0" applyNumberFormat="1" applyBorder="1" applyAlignment="1">
      <alignment horizontal="center" vertical="center"/>
    </xf>
    <xf numFmtId="0" fontId="15" fillId="4" borderId="11" xfId="0" applyFont="1" applyFill="1" applyBorder="1" applyAlignment="1">
      <alignment horizontal="right" vertical="center"/>
    </xf>
    <xf numFmtId="164" fontId="0" fillId="59" borderId="110" xfId="0" applyNumberFormat="1" applyFill="1" applyBorder="1" applyAlignment="1">
      <alignment horizontal="center" vertical="center"/>
    </xf>
    <xf numFmtId="164" fontId="0" fillId="59" borderId="84" xfId="0" applyNumberFormat="1" applyFill="1" applyBorder="1" applyAlignment="1">
      <alignment horizontal="center" vertical="center"/>
    </xf>
    <xf numFmtId="4" fontId="0" fillId="0" borderId="61" xfId="0" applyNumberFormat="1" applyBorder="1" applyAlignment="1">
      <alignment horizontal="center" vertical="center"/>
    </xf>
    <xf numFmtId="171" fontId="0" fillId="0" borderId="76" xfId="0" applyNumberFormat="1" applyBorder="1" applyAlignment="1">
      <alignment horizontal="center" vertical="center"/>
    </xf>
    <xf numFmtId="171" fontId="0" fillId="0" borderId="61" xfId="0" applyNumberFormat="1" applyBorder="1" applyAlignment="1">
      <alignment horizontal="center" vertical="center"/>
    </xf>
    <xf numFmtId="0" fontId="12" fillId="4" borderId="74" xfId="0" applyFont="1" applyFill="1" applyBorder="1" applyAlignment="1">
      <alignment horizontal="center" vertical="center" wrapText="1"/>
    </xf>
    <xf numFmtId="164" fontId="0" fillId="59" borderId="62" xfId="0" applyNumberFormat="1" applyFill="1" applyBorder="1" applyAlignment="1">
      <alignment horizontal="center" vertical="center"/>
    </xf>
    <xf numFmtId="164" fontId="0" fillId="59" borderId="79" xfId="0" applyNumberFormat="1" applyFill="1" applyBorder="1" applyAlignment="1">
      <alignment horizontal="center" vertical="center"/>
    </xf>
    <xf numFmtId="170" fontId="0" fillId="0" borderId="74" xfId="0" applyNumberFormat="1" applyBorder="1" applyAlignment="1">
      <alignment horizontal="center" vertical="center"/>
    </xf>
    <xf numFmtId="170" fontId="0" fillId="0" borderId="63" xfId="0" applyNumberFormat="1" applyBorder="1" applyAlignment="1">
      <alignment horizontal="center" vertical="center"/>
    </xf>
    <xf numFmtId="170" fontId="15" fillId="0" borderId="11" xfId="0" applyNumberFormat="1" applyFont="1" applyBorder="1" applyAlignment="1">
      <alignment horizontal="center" vertical="center"/>
    </xf>
    <xf numFmtId="3" fontId="70" fillId="61" borderId="21" xfId="0" applyNumberFormat="1" applyFont="1" applyFill="1" applyBorder="1" applyAlignment="1">
      <alignment horizontal="center" vertical="center" wrapText="1"/>
    </xf>
    <xf numFmtId="3" fontId="70" fillId="61" borderId="24" xfId="0" applyNumberFormat="1" applyFont="1" applyFill="1" applyBorder="1" applyAlignment="1">
      <alignment horizontal="center" vertical="center" wrapText="1"/>
    </xf>
    <xf numFmtId="3" fontId="12" fillId="0" borderId="62" xfId="0" applyNumberFormat="1" applyFont="1" applyBorder="1" applyAlignment="1">
      <alignment horizontal="center" vertical="center"/>
    </xf>
    <xf numFmtId="168" fontId="12" fillId="0" borderId="61" xfId="0" applyNumberFormat="1" applyFont="1" applyBorder="1" applyAlignment="1">
      <alignment horizontal="center" vertical="center"/>
    </xf>
    <xf numFmtId="168" fontId="12" fillId="0" borderId="63" xfId="0" applyNumberFormat="1" applyFont="1" applyBorder="1" applyAlignment="1">
      <alignment horizontal="center" vertical="center"/>
    </xf>
    <xf numFmtId="168" fontId="15" fillId="0" borderId="49" xfId="0" applyNumberFormat="1" applyFont="1" applyBorder="1" applyAlignment="1">
      <alignment horizontal="center" vertical="center" wrapText="1"/>
    </xf>
    <xf numFmtId="3" fontId="12" fillId="59" borderId="110" xfId="0" applyNumberFormat="1" applyFont="1" applyFill="1" applyBorder="1" applyAlignment="1">
      <alignment horizontal="center" vertical="center" wrapText="1"/>
    </xf>
    <xf numFmtId="0" fontId="12" fillId="59" borderId="72" xfId="0" applyFont="1" applyFill="1" applyBorder="1" applyAlignment="1">
      <alignment horizontal="center" vertical="center" wrapText="1"/>
    </xf>
    <xf numFmtId="3" fontId="12" fillId="59" borderId="72" xfId="0" applyNumberFormat="1" applyFont="1" applyFill="1" applyBorder="1" applyAlignment="1">
      <alignment horizontal="center" vertical="center" wrapText="1"/>
    </xf>
    <xf numFmtId="0" fontId="70" fillId="61" borderId="115" xfId="0" applyFont="1" applyFill="1" applyBorder="1" applyAlignment="1">
      <alignment horizontal="center" vertical="center" wrapText="1"/>
    </xf>
    <xf numFmtId="170" fontId="15" fillId="0" borderId="11" xfId="0" applyNumberFormat="1" applyFont="1" applyBorder="1" applyAlignment="1">
      <alignment horizontal="center" vertical="center" wrapText="1"/>
    </xf>
    <xf numFmtId="170" fontId="12" fillId="4" borderId="61" xfId="0" applyNumberFormat="1" applyFont="1" applyFill="1" applyBorder="1" applyAlignment="1">
      <alignment horizontal="center" vertical="center" wrapText="1"/>
    </xf>
    <xf numFmtId="3" fontId="12" fillId="59" borderId="60" xfId="0" applyNumberFormat="1" applyFont="1" applyFill="1" applyBorder="1" applyAlignment="1">
      <alignment horizontal="center" vertical="center" wrapText="1"/>
    </xf>
    <xf numFmtId="3" fontId="15" fillId="4" borderId="49" xfId="0" applyNumberFormat="1" applyFont="1" applyFill="1" applyBorder="1" applyAlignment="1">
      <alignment horizontal="center" vertical="center" wrapText="1"/>
    </xf>
    <xf numFmtId="170" fontId="12" fillId="4" borderId="74" xfId="0" applyNumberFormat="1" applyFont="1" applyFill="1" applyBorder="1" applyAlignment="1">
      <alignment horizontal="center" vertical="center"/>
    </xf>
    <xf numFmtId="170" fontId="15" fillId="4" borderId="50" xfId="0" applyNumberFormat="1" applyFont="1" applyFill="1" applyBorder="1" applyAlignment="1">
      <alignment horizontal="center" vertical="center" wrapText="1"/>
    </xf>
    <xf numFmtId="168" fontId="15" fillId="0" borderId="48" xfId="0" applyNumberFormat="1" applyFont="1" applyBorder="1" applyAlignment="1">
      <alignment horizontal="center" vertical="center" wrapText="1"/>
    </xf>
    <xf numFmtId="170" fontId="12" fillId="0" borderId="76" xfId="0" applyNumberFormat="1" applyFont="1" applyBorder="1" applyAlignment="1">
      <alignment horizontal="center" vertical="center"/>
    </xf>
    <xf numFmtId="168" fontId="15" fillId="0" borderId="11" xfId="0" applyNumberFormat="1" applyFont="1" applyBorder="1" applyAlignment="1">
      <alignment horizontal="center" vertical="center" wrapText="1"/>
    </xf>
    <xf numFmtId="168" fontId="12" fillId="0" borderId="74" xfId="0" applyNumberFormat="1" applyFont="1" applyBorder="1" applyAlignment="1">
      <alignment horizontal="center" vertical="center"/>
    </xf>
    <xf numFmtId="168" fontId="12" fillId="0" borderId="76" xfId="0" applyNumberFormat="1" applyFont="1" applyBorder="1" applyAlignment="1">
      <alignment horizontal="center" vertical="center"/>
    </xf>
    <xf numFmtId="170" fontId="12" fillId="4" borderId="63" xfId="0" applyNumberFormat="1" applyFont="1" applyFill="1" applyBorder="1" applyAlignment="1">
      <alignment horizontal="center" vertical="center" wrapText="1"/>
    </xf>
    <xf numFmtId="0" fontId="12" fillId="59" borderId="62" xfId="0" applyFont="1" applyFill="1" applyBorder="1" applyAlignment="1">
      <alignment horizontal="center" vertical="center" wrapText="1"/>
    </xf>
    <xf numFmtId="3" fontId="12" fillId="59" borderId="62" xfId="0" applyNumberFormat="1" applyFont="1" applyFill="1" applyBorder="1" applyAlignment="1">
      <alignment horizontal="center" vertical="center" wrapText="1"/>
    </xf>
    <xf numFmtId="0" fontId="12" fillId="4" borderId="74" xfId="0" applyFont="1" applyFill="1" applyBorder="1" applyAlignment="1">
      <alignment horizontal="left" vertical="top" wrapText="1"/>
    </xf>
    <xf numFmtId="3" fontId="12" fillId="4" borderId="60" xfId="0" applyNumberFormat="1" applyFont="1" applyFill="1" applyBorder="1" applyAlignment="1">
      <alignment horizontal="center" vertical="center" wrapText="1"/>
    </xf>
    <xf numFmtId="0" fontId="12" fillId="4" borderId="76" xfId="0" applyFont="1" applyFill="1" applyBorder="1" applyAlignment="1">
      <alignment horizontal="left" vertical="top" wrapText="1"/>
    </xf>
    <xf numFmtId="0" fontId="12" fillId="59" borderId="73" xfId="0" applyFont="1" applyFill="1" applyBorder="1" applyAlignment="1">
      <alignment horizontal="center" vertical="center" wrapText="1"/>
    </xf>
    <xf numFmtId="3" fontId="12" fillId="4" borderId="72" xfId="0" applyNumberFormat="1" applyFont="1" applyFill="1" applyBorder="1" applyAlignment="1">
      <alignment horizontal="center" vertical="center" wrapText="1"/>
    </xf>
    <xf numFmtId="0" fontId="12" fillId="4" borderId="71" xfId="0" applyFont="1" applyFill="1" applyBorder="1" applyAlignment="1">
      <alignment horizontal="left" vertical="top" wrapText="1"/>
    </xf>
    <xf numFmtId="0" fontId="70" fillId="61" borderId="112" xfId="0" applyFont="1" applyFill="1" applyBorder="1" applyAlignment="1">
      <alignment horizontal="center" vertical="center" wrapText="1"/>
    </xf>
    <xf numFmtId="3" fontId="70" fillId="61" borderId="20" xfId="0" applyNumberFormat="1" applyFont="1" applyFill="1" applyBorder="1" applyAlignment="1">
      <alignment horizontal="center" vertical="center" wrapText="1"/>
    </xf>
    <xf numFmtId="0" fontId="12" fillId="41" borderId="112" xfId="19" applyFill="1" applyBorder="1" applyAlignment="1">
      <alignment horizontal="center" wrapText="1"/>
    </xf>
    <xf numFmtId="3" fontId="12" fillId="40" borderId="80" xfId="19" applyNumberFormat="1" applyFill="1" applyBorder="1" applyAlignment="1">
      <alignment horizontal="center" wrapText="1"/>
    </xf>
    <xf numFmtId="3" fontId="12" fillId="40" borderId="60" xfId="19" applyNumberFormat="1" applyFill="1" applyBorder="1" applyAlignment="1">
      <alignment horizontal="center" wrapText="1"/>
    </xf>
    <xf numFmtId="3" fontId="12" fillId="40" borderId="62" xfId="19" applyNumberFormat="1" applyFill="1" applyBorder="1" applyAlignment="1">
      <alignment horizontal="center" wrapText="1"/>
    </xf>
    <xf numFmtId="3" fontId="12" fillId="41" borderId="16" xfId="19" applyNumberFormat="1" applyFill="1" applyBorder="1" applyAlignment="1">
      <alignment horizontal="center" wrapText="1"/>
    </xf>
    <xf numFmtId="3" fontId="12" fillId="41" borderId="112" xfId="19" applyNumberFormat="1" applyFill="1" applyBorder="1" applyAlignment="1">
      <alignment horizontal="center" wrapText="1"/>
    </xf>
    <xf numFmtId="3" fontId="15" fillId="0" borderId="17" xfId="19" applyNumberFormat="1" applyFont="1" applyBorder="1" applyAlignment="1">
      <alignment horizontal="center" wrapText="1"/>
    </xf>
    <xf numFmtId="170" fontId="12" fillId="39" borderId="62" xfId="19" applyNumberFormat="1" applyFill="1" applyBorder="1" applyAlignment="1">
      <alignment horizontal="center" vertical="center" wrapText="1"/>
    </xf>
    <xf numFmtId="170" fontId="12" fillId="39" borderId="60" xfId="19" applyNumberFormat="1" applyFill="1" applyBorder="1" applyAlignment="1">
      <alignment horizontal="center" vertical="center" wrapText="1"/>
    </xf>
    <xf numFmtId="170" fontId="12" fillId="40" borderId="60" xfId="19" applyNumberFormat="1" applyFill="1" applyBorder="1" applyAlignment="1">
      <alignment horizontal="center" wrapText="1"/>
    </xf>
    <xf numFmtId="4" fontId="12" fillId="40" borderId="60" xfId="19" applyNumberFormat="1" applyFill="1" applyBorder="1" applyAlignment="1">
      <alignment horizontal="center" wrapText="1"/>
    </xf>
    <xf numFmtId="171" fontId="12" fillId="40" borderId="60" xfId="19" applyNumberFormat="1" applyFill="1" applyBorder="1" applyAlignment="1">
      <alignment horizontal="center" wrapText="1"/>
    </xf>
    <xf numFmtId="170" fontId="12" fillId="40" borderId="62" xfId="19" applyNumberFormat="1" applyFill="1" applyBorder="1" applyAlignment="1">
      <alignment horizontal="center" wrapText="1"/>
    </xf>
    <xf numFmtId="4" fontId="12" fillId="40" borderId="72" xfId="19" applyNumberFormat="1" applyFill="1" applyBorder="1" applyAlignment="1">
      <alignment horizontal="center" wrapText="1"/>
    </xf>
    <xf numFmtId="4" fontId="12" fillId="40" borderId="62" xfId="19" applyNumberFormat="1" applyFill="1" applyBorder="1" applyAlignment="1">
      <alignment horizontal="center" wrapText="1"/>
    </xf>
    <xf numFmtId="170" fontId="12" fillId="41" borderId="112" xfId="19" applyNumberFormat="1" applyFill="1" applyBorder="1" applyAlignment="1">
      <alignment horizontal="center" wrapText="1"/>
    </xf>
    <xf numFmtId="171" fontId="12" fillId="41" borderId="112" xfId="19" applyNumberFormat="1" applyFill="1" applyBorder="1" applyAlignment="1">
      <alignment horizontal="center" wrapText="1"/>
    </xf>
    <xf numFmtId="170" fontId="15" fillId="0" borderId="17" xfId="19" applyNumberFormat="1" applyFont="1" applyBorder="1" applyAlignment="1">
      <alignment horizontal="center" wrapText="1"/>
    </xf>
    <xf numFmtId="37" fontId="12" fillId="36" borderId="73" xfId="15" applyNumberFormat="1" applyFont="1" applyFill="1" applyBorder="1" applyAlignment="1">
      <alignment horizontal="center" vertical="center" wrapText="1"/>
    </xf>
    <xf numFmtId="0" fontId="12" fillId="40" borderId="86" xfId="19" applyFill="1" applyBorder="1" applyAlignment="1">
      <alignment horizontal="center" wrapText="1"/>
    </xf>
    <xf numFmtId="37" fontId="12" fillId="36" borderId="88" xfId="15" applyNumberFormat="1" applyFont="1" applyFill="1" applyBorder="1" applyAlignment="1">
      <alignment horizontal="center" vertical="center" wrapText="1"/>
    </xf>
    <xf numFmtId="37" fontId="12" fillId="37" borderId="10" xfId="15" applyNumberFormat="1" applyFont="1" applyFill="1" applyBorder="1" applyAlignment="1">
      <alignment horizontal="center" vertical="center" wrapText="1"/>
    </xf>
    <xf numFmtId="37" fontId="12" fillId="37" borderId="114" xfId="15" applyNumberFormat="1" applyFont="1" applyFill="1" applyBorder="1" applyAlignment="1">
      <alignment horizontal="center" vertical="center" wrapText="1"/>
    </xf>
    <xf numFmtId="10" fontId="12" fillId="0" borderId="112" xfId="0" applyNumberFormat="1" applyFont="1" applyBorder="1" applyAlignment="1">
      <alignment horizontal="center" vertical="center"/>
    </xf>
    <xf numFmtId="0" fontId="12" fillId="4" borderId="113" xfId="0" applyFont="1" applyFill="1" applyBorder="1" applyAlignment="1">
      <alignment horizontal="center" vertical="center"/>
    </xf>
    <xf numFmtId="3" fontId="30" fillId="0" borderId="112" xfId="0" applyNumberFormat="1" applyFont="1" applyBorder="1" applyAlignment="1">
      <alignment horizontal="center" vertical="center" wrapText="1"/>
    </xf>
    <xf numFmtId="0" fontId="70" fillId="60" borderId="95" xfId="19" applyFont="1" applyFill="1" applyBorder="1" applyAlignment="1">
      <alignment horizontal="center" vertical="center" wrapText="1"/>
    </xf>
    <xf numFmtId="170" fontId="12" fillId="0" borderId="72" xfId="0" applyNumberFormat="1" applyFont="1" applyBorder="1" applyAlignment="1">
      <alignment horizontal="center" vertical="center"/>
    </xf>
    <xf numFmtId="3" fontId="12" fillId="0" borderId="72" xfId="0" applyNumberFormat="1" applyFont="1" applyBorder="1" applyAlignment="1">
      <alignment horizontal="center" vertical="center"/>
    </xf>
    <xf numFmtId="170" fontId="12" fillId="0" borderId="73" xfId="0" applyNumberFormat="1" applyFont="1" applyBorder="1" applyAlignment="1">
      <alignment horizontal="center" vertical="center"/>
    </xf>
    <xf numFmtId="0" fontId="21" fillId="4" borderId="0" xfId="0" applyFont="1" applyFill="1" applyAlignment="1">
      <alignment horizontal="left" vertical="top"/>
    </xf>
    <xf numFmtId="0" fontId="21" fillId="4" borderId="0" xfId="0" applyFont="1" applyFill="1" applyAlignment="1">
      <alignment horizontal="center" vertical="center"/>
    </xf>
    <xf numFmtId="10" fontId="12" fillId="0" borderId="66" xfId="0" applyNumberFormat="1" applyFont="1" applyBorder="1" applyAlignment="1">
      <alignment horizontal="center" vertical="center" wrapText="1"/>
    </xf>
    <xf numFmtId="173" fontId="12" fillId="0" borderId="90" xfId="0" applyNumberFormat="1" applyFont="1" applyBorder="1" applyAlignment="1">
      <alignment horizontal="center" vertical="center"/>
    </xf>
    <xf numFmtId="2" fontId="12" fillId="4" borderId="76" xfId="0" applyNumberFormat="1" applyFont="1" applyFill="1" applyBorder="1" applyAlignment="1">
      <alignment horizontal="center" vertical="center"/>
    </xf>
    <xf numFmtId="2" fontId="12" fillId="4" borderId="63" xfId="0" applyNumberFormat="1" applyFont="1" applyFill="1" applyBorder="1" applyAlignment="1">
      <alignment horizontal="center" vertical="center"/>
    </xf>
    <xf numFmtId="2" fontId="12" fillId="0" borderId="61" xfId="0" applyNumberFormat="1" applyFont="1" applyBorder="1" applyAlignment="1">
      <alignment horizontal="center" vertical="center"/>
    </xf>
    <xf numFmtId="167" fontId="12" fillId="4" borderId="61" xfId="0" applyNumberFormat="1" applyFont="1" applyFill="1" applyBorder="1" applyAlignment="1">
      <alignment horizontal="center" vertical="center"/>
    </xf>
    <xf numFmtId="3" fontId="15" fillId="0" borderId="49" xfId="0" applyNumberFormat="1" applyFont="1" applyBorder="1" applyAlignment="1">
      <alignment horizontal="center" vertical="center" wrapText="1"/>
    </xf>
    <xf numFmtId="0" fontId="12" fillId="4" borderId="70" xfId="0" applyFont="1" applyFill="1" applyBorder="1" applyAlignment="1">
      <alignment horizontal="center" vertical="center" wrapText="1"/>
    </xf>
    <xf numFmtId="3" fontId="30" fillId="0" borderId="16" xfId="0" applyNumberFormat="1" applyFont="1" applyBorder="1" applyAlignment="1">
      <alignment horizontal="center" vertical="center"/>
    </xf>
    <xf numFmtId="170" fontId="12" fillId="0" borderId="80" xfId="0" applyNumberFormat="1" applyFont="1" applyBorder="1" applyAlignment="1">
      <alignment horizontal="center" vertical="center"/>
    </xf>
    <xf numFmtId="3" fontId="12" fillId="0" borderId="80" xfId="0" applyNumberFormat="1" applyFont="1" applyBorder="1" applyAlignment="1">
      <alignment horizontal="center" vertical="center"/>
    </xf>
    <xf numFmtId="170" fontId="12" fillId="0" borderId="81" xfId="0" applyNumberFormat="1" applyFont="1" applyBorder="1" applyAlignment="1">
      <alignment horizontal="center" vertical="center"/>
    </xf>
    <xf numFmtId="3" fontId="12" fillId="0" borderId="112" xfId="0" applyNumberFormat="1" applyFont="1" applyBorder="1" applyAlignment="1">
      <alignment horizontal="center" vertical="center"/>
    </xf>
    <xf numFmtId="3" fontId="12" fillId="0" borderId="118" xfId="0" applyNumberFormat="1" applyFont="1" applyBorder="1" applyAlignment="1">
      <alignment horizontal="center" vertical="center"/>
    </xf>
    <xf numFmtId="3" fontId="47" fillId="0" borderId="17" xfId="0" applyNumberFormat="1" applyFont="1" applyBorder="1" applyAlignment="1">
      <alignment horizontal="center" vertical="center" wrapText="1"/>
    </xf>
    <xf numFmtId="171" fontId="12" fillId="4" borderId="60" xfId="0" applyNumberFormat="1" applyFont="1" applyFill="1" applyBorder="1" applyAlignment="1">
      <alignment horizontal="center" vertical="center" wrapText="1"/>
    </xf>
    <xf numFmtId="0" fontId="12" fillId="0" borderId="117" xfId="0" applyFont="1" applyBorder="1" applyAlignment="1">
      <alignment horizontal="center" vertical="center" wrapText="1"/>
    </xf>
    <xf numFmtId="3" fontId="12" fillId="4" borderId="120" xfId="0" applyNumberFormat="1" applyFont="1" applyFill="1" applyBorder="1" applyAlignment="1">
      <alignment horizontal="center" vertical="center"/>
    </xf>
    <xf numFmtId="0" fontId="12" fillId="0" borderId="58" xfId="0" applyFont="1" applyBorder="1" applyAlignment="1">
      <alignment horizontal="center" vertical="center" wrapText="1"/>
    </xf>
    <xf numFmtId="0" fontId="12" fillId="0" borderId="60" xfId="0" applyFont="1" applyBorder="1" applyAlignment="1">
      <alignment horizontal="center" vertical="center" wrapText="1"/>
    </xf>
    <xf numFmtId="0" fontId="12" fillId="0" borderId="62" xfId="0" applyFont="1" applyBorder="1" applyAlignment="1">
      <alignment horizontal="center" vertical="center" wrapText="1"/>
    </xf>
    <xf numFmtId="9" fontId="15" fillId="4" borderId="53" xfId="0" applyNumberFormat="1" applyFont="1" applyFill="1" applyBorder="1" applyAlignment="1">
      <alignment horizontal="center" vertical="center" wrapText="1"/>
    </xf>
    <xf numFmtId="166" fontId="21" fillId="4" borderId="0" xfId="0" applyNumberFormat="1" applyFont="1" applyFill="1"/>
    <xf numFmtId="0" fontId="76" fillId="4" borderId="10" xfId="2" applyFont="1" applyFill="1" applyBorder="1" applyAlignment="1" applyProtection="1">
      <alignment horizontal="center" vertical="center" wrapText="1"/>
    </xf>
    <xf numFmtId="0" fontId="12" fillId="0" borderId="115" xfId="0" applyFont="1" applyBorder="1" applyAlignment="1">
      <alignment horizontal="center" vertical="center" wrapText="1"/>
    </xf>
    <xf numFmtId="170" fontId="15" fillId="0" borderId="5" xfId="0" applyNumberFormat="1" applyFont="1" applyBorder="1" applyAlignment="1">
      <alignment horizontal="center" vertical="center"/>
    </xf>
    <xf numFmtId="37" fontId="12" fillId="0" borderId="58" xfId="1" applyNumberFormat="1" applyFont="1" applyFill="1" applyBorder="1" applyAlignment="1">
      <alignment horizontal="center" vertical="center" wrapText="1"/>
    </xf>
    <xf numFmtId="37" fontId="12" fillId="0" borderId="62" xfId="1" applyNumberFormat="1" applyFont="1" applyFill="1" applyBorder="1" applyAlignment="1">
      <alignment horizontal="center" vertical="center" wrapText="1"/>
    </xf>
    <xf numFmtId="0" fontId="21" fillId="4" borderId="50" xfId="0" applyFont="1" applyFill="1" applyBorder="1" applyAlignment="1">
      <alignment horizontal="center" vertical="center"/>
    </xf>
    <xf numFmtId="3" fontId="0" fillId="4" borderId="86" xfId="0" applyNumberFormat="1" applyFill="1" applyBorder="1" applyAlignment="1">
      <alignment horizontal="center" vertical="center"/>
    </xf>
    <xf numFmtId="3" fontId="0" fillId="59" borderId="86" xfId="0" applyNumberFormat="1" applyFill="1" applyBorder="1" applyAlignment="1">
      <alignment horizontal="center" vertical="center"/>
    </xf>
    <xf numFmtId="4" fontId="0" fillId="4" borderId="86" xfId="0" applyNumberFormat="1" applyFill="1" applyBorder="1" applyAlignment="1">
      <alignment horizontal="center" vertical="center"/>
    </xf>
    <xf numFmtId="180" fontId="0" fillId="4" borderId="86" xfId="0" applyNumberFormat="1" applyFill="1" applyBorder="1" applyAlignment="1">
      <alignment horizontal="center" vertical="center"/>
    </xf>
    <xf numFmtId="170" fontId="0" fillId="4" borderId="86" xfId="0" applyNumberFormat="1" applyFill="1" applyBorder="1" applyAlignment="1">
      <alignment horizontal="center" vertical="center"/>
    </xf>
    <xf numFmtId="183" fontId="0" fillId="59" borderId="61" xfId="0" applyNumberFormat="1" applyFill="1" applyBorder="1" applyAlignment="1">
      <alignment horizontal="center" vertical="center"/>
    </xf>
    <xf numFmtId="3" fontId="0" fillId="4" borderId="84" xfId="0" applyNumberFormat="1" applyFill="1" applyBorder="1" applyAlignment="1">
      <alignment horizontal="center" vertical="center"/>
    </xf>
    <xf numFmtId="3" fontId="0" fillId="4" borderId="87" xfId="0" applyNumberFormat="1" applyFill="1" applyBorder="1" applyAlignment="1">
      <alignment horizontal="center" vertical="center"/>
    </xf>
    <xf numFmtId="180" fontId="0" fillId="4" borderId="60" xfId="0" applyNumberFormat="1" applyFill="1" applyBorder="1" applyAlignment="1">
      <alignment horizontal="center" vertical="center"/>
    </xf>
    <xf numFmtId="183" fontId="0" fillId="59" borderId="86" xfId="0" applyNumberFormat="1" applyFill="1" applyBorder="1" applyAlignment="1">
      <alignment horizontal="center" vertical="center"/>
    </xf>
    <xf numFmtId="175" fontId="0" fillId="4" borderId="88" xfId="0" applyNumberFormat="1" applyFill="1" applyBorder="1" applyAlignment="1">
      <alignment horizontal="center" vertical="center"/>
    </xf>
    <xf numFmtId="170" fontId="15" fillId="0" borderId="53" xfId="0" applyNumberFormat="1" applyFont="1" applyBorder="1" applyAlignment="1">
      <alignment horizontal="center" vertical="center"/>
    </xf>
    <xf numFmtId="171" fontId="12" fillId="0" borderId="113" xfId="0" applyNumberFormat="1" applyFont="1" applyBorder="1" applyAlignment="1">
      <alignment horizontal="center" vertical="center"/>
    </xf>
    <xf numFmtId="171" fontId="15" fillId="0" borderId="11" xfId="0" applyNumberFormat="1" applyFont="1" applyBorder="1" applyAlignment="1">
      <alignment horizontal="center" vertical="center"/>
    </xf>
    <xf numFmtId="37" fontId="12" fillId="39" borderId="59" xfId="19" applyNumberFormat="1" applyFill="1" applyBorder="1" applyAlignment="1">
      <alignment horizontal="center" vertical="center" wrapText="1"/>
    </xf>
    <xf numFmtId="37" fontId="12" fillId="39" borderId="61" xfId="19" applyNumberFormat="1" applyFill="1" applyBorder="1" applyAlignment="1">
      <alignment horizontal="center" vertical="center" wrapText="1"/>
    </xf>
    <xf numFmtId="37" fontId="12" fillId="39" borderId="63" xfId="19" applyNumberFormat="1" applyFill="1" applyBorder="1" applyAlignment="1">
      <alignment horizontal="center" vertical="center" wrapText="1"/>
    </xf>
    <xf numFmtId="37" fontId="12" fillId="39" borderId="73" xfId="19" applyNumberFormat="1" applyFill="1" applyBorder="1" applyAlignment="1">
      <alignment horizontal="center" vertical="center" wrapText="1"/>
    </xf>
    <xf numFmtId="9" fontId="0" fillId="4" borderId="80" xfId="0" applyNumberFormat="1" applyFill="1" applyBorder="1" applyAlignment="1">
      <alignment horizontal="center" vertical="center"/>
    </xf>
    <xf numFmtId="9" fontId="0" fillId="4" borderId="78" xfId="0" applyNumberFormat="1" applyFill="1" applyBorder="1" applyAlignment="1">
      <alignment horizontal="center" vertical="center"/>
    </xf>
    <xf numFmtId="37" fontId="15" fillId="0" borderId="5" xfId="19" applyNumberFormat="1" applyFont="1" applyBorder="1" applyAlignment="1">
      <alignment horizontal="center" wrapText="1"/>
    </xf>
    <xf numFmtId="0" fontId="15" fillId="0" borderId="0" xfId="0" applyFont="1"/>
    <xf numFmtId="0" fontId="32" fillId="0" borderId="0" xfId="176"/>
    <xf numFmtId="0" fontId="30" fillId="0" borderId="113" xfId="0" applyFont="1" applyBorder="1" applyAlignment="1">
      <alignment horizontal="center" vertical="center"/>
    </xf>
    <xf numFmtId="0" fontId="70" fillId="61" borderId="6" xfId="110" applyFont="1" applyFill="1" applyBorder="1" applyAlignment="1">
      <alignment horizontal="center" vertical="center" wrapText="1"/>
    </xf>
    <xf numFmtId="0" fontId="70" fillId="61" borderId="7" xfId="110" applyFont="1" applyFill="1" applyBorder="1" applyAlignment="1">
      <alignment horizontal="center" vertical="center" wrapText="1"/>
    </xf>
    <xf numFmtId="0" fontId="70" fillId="61" borderId="8" xfId="110" applyFont="1" applyFill="1" applyBorder="1" applyAlignment="1">
      <alignment horizontal="center" vertical="center" wrapText="1"/>
    </xf>
    <xf numFmtId="0" fontId="70" fillId="61" borderId="113" xfId="110" applyFont="1" applyFill="1" applyBorder="1" applyAlignment="1">
      <alignment horizontal="center" vertical="center"/>
    </xf>
    <xf numFmtId="0" fontId="70" fillId="61" borderId="112" xfId="110" applyFont="1" applyFill="1" applyBorder="1" applyAlignment="1">
      <alignment horizontal="center" vertical="center" wrapText="1"/>
    </xf>
    <xf numFmtId="0" fontId="47" fillId="0" borderId="11" xfId="110" applyFont="1" applyBorder="1" applyAlignment="1">
      <alignment horizontal="center" vertical="center" wrapText="1"/>
    </xf>
    <xf numFmtId="169" fontId="29" fillId="4" borderId="0" xfId="10" applyNumberFormat="1" applyFont="1" applyFill="1"/>
    <xf numFmtId="167" fontId="29" fillId="4" borderId="0" xfId="10" applyNumberFormat="1" applyFont="1" applyFill="1"/>
    <xf numFmtId="0" fontId="30" fillId="0" borderId="0" xfId="0" applyFont="1"/>
    <xf numFmtId="9" fontId="30" fillId="0" borderId="0" xfId="3" applyFont="1" applyFill="1" applyBorder="1" applyAlignment="1">
      <alignment horizontal="center" vertical="center"/>
    </xf>
    <xf numFmtId="9" fontId="12" fillId="0" borderId="0" xfId="3" applyFont="1" applyFill="1" applyBorder="1" applyAlignment="1">
      <alignment horizontal="center" vertical="center"/>
    </xf>
    <xf numFmtId="43" fontId="30" fillId="0" borderId="0" xfId="0" applyNumberFormat="1" applyFont="1"/>
    <xf numFmtId="164" fontId="30" fillId="0" borderId="0" xfId="0" applyNumberFormat="1" applyFont="1"/>
    <xf numFmtId="43" fontId="30" fillId="0" borderId="0" xfId="1" applyFont="1" applyFill="1" applyBorder="1"/>
    <xf numFmtId="0" fontId="20" fillId="0" borderId="10" xfId="2" applyFill="1" applyBorder="1" applyAlignment="1" applyProtection="1">
      <alignment horizontal="center" vertical="center"/>
    </xf>
    <xf numFmtId="0" fontId="20" fillId="0" borderId="114" xfId="2" applyBorder="1" applyAlignment="1" applyProtection="1">
      <alignment horizontal="center" vertical="center"/>
    </xf>
    <xf numFmtId="0" fontId="83" fillId="0" borderId="113" xfId="0" applyFont="1" applyBorder="1" applyAlignment="1">
      <alignment horizontal="center" vertical="center" wrapText="1"/>
    </xf>
    <xf numFmtId="168" fontId="12" fillId="0" borderId="0" xfId="0" applyNumberFormat="1" applyFont="1" applyAlignment="1">
      <alignment horizontal="center" vertical="center"/>
    </xf>
    <xf numFmtId="9" fontId="12" fillId="0" borderId="60" xfId="3" applyFont="1" applyFill="1" applyBorder="1" applyAlignment="1">
      <alignment horizontal="center" vertical="center"/>
    </xf>
    <xf numFmtId="170" fontId="30" fillId="0" borderId="60" xfId="1" applyNumberFormat="1" applyFont="1" applyFill="1" applyBorder="1" applyAlignment="1">
      <alignment horizontal="center" vertical="center"/>
    </xf>
    <xf numFmtId="3" fontId="30" fillId="0" borderId="61" xfId="1" applyNumberFormat="1" applyFont="1" applyFill="1" applyBorder="1" applyAlignment="1">
      <alignment horizontal="center" vertical="center"/>
    </xf>
    <xf numFmtId="0" fontId="30" fillId="0" borderId="76" xfId="0" applyFont="1" applyBorder="1" applyAlignment="1">
      <alignment horizontal="center" vertical="center"/>
    </xf>
    <xf numFmtId="1" fontId="12" fillId="0" borderId="60" xfId="0" applyNumberFormat="1" applyFont="1" applyBorder="1" applyAlignment="1">
      <alignment horizontal="center" vertical="center"/>
    </xf>
    <xf numFmtId="3" fontId="30" fillId="66" borderId="60" xfId="1" applyNumberFormat="1" applyFont="1" applyFill="1" applyBorder="1" applyAlignment="1">
      <alignment horizontal="center" vertical="center"/>
    </xf>
    <xf numFmtId="9" fontId="12" fillId="66" borderId="60" xfId="3" applyFont="1" applyFill="1" applyBorder="1" applyAlignment="1">
      <alignment horizontal="center" vertical="center"/>
    </xf>
    <xf numFmtId="0" fontId="84" fillId="0" borderId="76" xfId="0" applyFont="1" applyBorder="1" applyAlignment="1">
      <alignment horizontal="center" vertical="center"/>
    </xf>
    <xf numFmtId="9" fontId="30" fillId="0" borderId="85" xfId="3" applyFont="1" applyFill="1" applyBorder="1" applyAlignment="1">
      <alignment horizontal="center" vertical="center"/>
    </xf>
    <xf numFmtId="3" fontId="30" fillId="66" borderId="86" xfId="1" applyNumberFormat="1" applyFont="1" applyFill="1" applyBorder="1" applyAlignment="1">
      <alignment horizontal="center" vertical="center"/>
    </xf>
    <xf numFmtId="9" fontId="12" fillId="66" borderId="86" xfId="3" applyFont="1" applyFill="1" applyBorder="1" applyAlignment="1">
      <alignment horizontal="center" vertical="center"/>
    </xf>
    <xf numFmtId="0" fontId="20" fillId="0" borderId="38" xfId="2" applyFill="1" applyBorder="1" applyAlignment="1" applyProtection="1">
      <alignment horizontal="center" vertical="center"/>
    </xf>
    <xf numFmtId="170" fontId="30" fillId="0" borderId="78" xfId="1" applyNumberFormat="1" applyFont="1" applyFill="1" applyBorder="1" applyAlignment="1">
      <alignment horizontal="center" vertical="center"/>
    </xf>
    <xf numFmtId="3" fontId="30" fillId="0" borderId="89" xfId="1" applyNumberFormat="1" applyFont="1" applyFill="1" applyBorder="1" applyAlignment="1">
      <alignment horizontal="center" vertical="center"/>
    </xf>
    <xf numFmtId="3" fontId="15" fillId="4" borderId="120" xfId="0" applyNumberFormat="1" applyFont="1" applyFill="1" applyBorder="1" applyAlignment="1">
      <alignment horizontal="center" vertical="center"/>
    </xf>
    <xf numFmtId="3" fontId="15" fillId="66" borderId="17" xfId="0" applyNumberFormat="1" applyFont="1" applyFill="1" applyBorder="1" applyAlignment="1">
      <alignment horizontal="center" vertical="center"/>
    </xf>
    <xf numFmtId="170" fontId="15" fillId="66" borderId="17" xfId="0" applyNumberFormat="1" applyFont="1" applyFill="1" applyBorder="1" applyAlignment="1">
      <alignment horizontal="center" vertical="center"/>
    </xf>
    <xf numFmtId="3" fontId="15" fillId="4" borderId="5" xfId="0" applyNumberFormat="1" applyFont="1" applyFill="1" applyBorder="1" applyAlignment="1">
      <alignment horizontal="center" vertical="center"/>
    </xf>
    <xf numFmtId="3" fontId="15" fillId="4" borderId="35" xfId="0" applyNumberFormat="1" applyFont="1" applyFill="1" applyBorder="1" applyAlignment="1">
      <alignment horizontal="center" vertical="center"/>
    </xf>
    <xf numFmtId="0" fontId="20" fillId="4" borderId="50" xfId="2" applyFill="1" applyBorder="1" applyAlignment="1" applyProtection="1">
      <alignment horizontal="center" vertical="center" wrapText="1"/>
    </xf>
    <xf numFmtId="0" fontId="15" fillId="4" borderId="0" xfId="0" applyFont="1" applyFill="1" applyAlignment="1">
      <alignment horizontal="left" vertical="top"/>
    </xf>
    <xf numFmtId="0" fontId="12" fillId="4" borderId="112" xfId="0" applyFont="1" applyFill="1" applyBorder="1" applyAlignment="1">
      <alignment horizontal="center" vertical="center"/>
    </xf>
    <xf numFmtId="0" fontId="30" fillId="0" borderId="121" xfId="0" applyFont="1" applyBorder="1" applyAlignment="1">
      <alignment horizontal="center" vertical="center"/>
    </xf>
    <xf numFmtId="166" fontId="12" fillId="0" borderId="60" xfId="0" applyNumberFormat="1" applyFont="1" applyBorder="1" applyAlignment="1">
      <alignment horizontal="center" vertical="center"/>
    </xf>
    <xf numFmtId="0" fontId="15" fillId="4" borderId="113" xfId="0" applyFont="1" applyFill="1" applyBorder="1" applyAlignment="1">
      <alignment horizontal="center" vertical="center" wrapText="1"/>
    </xf>
    <xf numFmtId="0" fontId="15" fillId="4" borderId="112" xfId="0" applyFont="1" applyFill="1" applyBorder="1" applyAlignment="1">
      <alignment horizontal="center" vertical="center" wrapText="1"/>
    </xf>
    <xf numFmtId="0" fontId="15" fillId="4" borderId="114" xfId="0" applyFont="1" applyFill="1" applyBorder="1" applyAlignment="1">
      <alignment horizontal="center" vertical="center" wrapText="1"/>
    </xf>
    <xf numFmtId="49" fontId="12" fillId="0" borderId="112" xfId="0" applyNumberFormat="1" applyFont="1" applyBorder="1" applyAlignment="1">
      <alignment horizontal="center" vertical="center"/>
    </xf>
    <xf numFmtId="0" fontId="12" fillId="4" borderId="118" xfId="0" applyFont="1" applyFill="1" applyBorder="1" applyAlignment="1">
      <alignment horizontal="center" vertical="center"/>
    </xf>
    <xf numFmtId="171" fontId="15" fillId="4" borderId="17" xfId="0" applyNumberFormat="1" applyFont="1" applyFill="1" applyBorder="1" applyAlignment="1">
      <alignment horizontal="center" vertical="center"/>
    </xf>
    <xf numFmtId="180" fontId="15" fillId="4" borderId="5" xfId="0" applyNumberFormat="1" applyFont="1" applyFill="1" applyBorder="1" applyAlignment="1">
      <alignment horizontal="center" vertical="center"/>
    </xf>
    <xf numFmtId="0" fontId="84" fillId="0" borderId="77" xfId="0" applyFont="1" applyBorder="1" applyAlignment="1">
      <alignment horizontal="center" vertical="center"/>
    </xf>
    <xf numFmtId="0" fontId="83" fillId="0" borderId="6" xfId="0" applyFont="1" applyBorder="1" applyAlignment="1">
      <alignment horizontal="center" vertical="center" wrapText="1"/>
    </xf>
    <xf numFmtId="37" fontId="30" fillId="0" borderId="8" xfId="0" applyNumberFormat="1" applyFont="1" applyBorder="1" applyAlignment="1">
      <alignment horizontal="center" vertical="center"/>
    </xf>
    <xf numFmtId="0" fontId="47" fillId="0" borderId="10" xfId="0" applyFont="1" applyBorder="1" applyAlignment="1">
      <alignment horizontal="center" vertical="center" wrapText="1"/>
    </xf>
    <xf numFmtId="3" fontId="12" fillId="0" borderId="61" xfId="0" applyNumberFormat="1" applyFont="1" applyBorder="1" applyAlignment="1">
      <alignment horizontal="center" vertical="center"/>
    </xf>
    <xf numFmtId="9" fontId="29" fillId="4" borderId="0" xfId="10" applyNumberFormat="1" applyFont="1" applyFill="1"/>
    <xf numFmtId="3" fontId="51" fillId="0" borderId="58" xfId="0" applyNumberFormat="1" applyFont="1" applyBorder="1" applyAlignment="1">
      <alignment horizontal="center" vertical="center"/>
    </xf>
    <xf numFmtId="3" fontId="51" fillId="0" borderId="60" xfId="0" applyNumberFormat="1" applyFont="1" applyBorder="1" applyAlignment="1">
      <alignment horizontal="center" vertical="center"/>
    </xf>
    <xf numFmtId="0" fontId="51" fillId="0" borderId="80" xfId="0" applyFont="1" applyBorder="1" applyAlignment="1">
      <alignment horizontal="center" vertical="center"/>
    </xf>
    <xf numFmtId="3" fontId="51" fillId="0" borderId="80" xfId="0" applyNumberFormat="1" applyFont="1" applyBorder="1" applyAlignment="1">
      <alignment horizontal="center" vertical="center"/>
    </xf>
    <xf numFmtId="0" fontId="51" fillId="0" borderId="62" xfId="0" applyFont="1" applyBorder="1" applyAlignment="1">
      <alignment horizontal="center" vertical="center"/>
    </xf>
    <xf numFmtId="3" fontId="51" fillId="0" borderId="62" xfId="0" applyNumberFormat="1" applyFont="1" applyBorder="1" applyAlignment="1">
      <alignment horizontal="center" vertical="center"/>
    </xf>
    <xf numFmtId="4" fontId="50" fillId="0" borderId="49" xfId="0" applyNumberFormat="1" applyFont="1" applyBorder="1" applyAlignment="1">
      <alignment horizontal="center" vertical="center" wrapText="1"/>
    </xf>
    <xf numFmtId="3" fontId="12" fillId="4" borderId="76" xfId="0" applyNumberFormat="1" applyFont="1" applyFill="1" applyBorder="1" applyAlignment="1">
      <alignment horizontal="center" vertical="center" wrapText="1"/>
    </xf>
    <xf numFmtId="0" fontId="20" fillId="4" borderId="5" xfId="2" applyFill="1" applyBorder="1" applyAlignment="1" applyProtection="1">
      <alignment horizontal="center" vertical="center" wrapText="1"/>
    </xf>
    <xf numFmtId="0" fontId="12" fillId="0" borderId="113" xfId="0" applyFont="1" applyBorder="1" applyAlignment="1">
      <alignment horizontal="center" vertical="center"/>
    </xf>
    <xf numFmtId="0" fontId="20" fillId="4" borderId="10" xfId="2" applyFill="1" applyBorder="1" applyAlignment="1" applyProtection="1">
      <alignment horizontal="center" vertical="center" wrapText="1"/>
    </xf>
    <xf numFmtId="37" fontId="12" fillId="4" borderId="0" xfId="0" applyNumberFormat="1" applyFont="1" applyFill="1"/>
    <xf numFmtId="10" fontId="12" fillId="4" borderId="114" xfId="0" applyNumberFormat="1" applyFont="1" applyFill="1" applyBorder="1" applyAlignment="1">
      <alignment horizontal="center" vertical="center"/>
    </xf>
    <xf numFmtId="10" fontId="12" fillId="0" borderId="113" xfId="0" applyNumberFormat="1" applyFont="1" applyBorder="1" applyAlignment="1">
      <alignment horizontal="center" vertical="center" wrapText="1"/>
    </xf>
    <xf numFmtId="173" fontId="12" fillId="0" borderId="115" xfId="0" applyNumberFormat="1" applyFont="1" applyBorder="1" applyAlignment="1">
      <alignment horizontal="center" vertical="center"/>
    </xf>
    <xf numFmtId="37" fontId="12" fillId="0" borderId="114" xfId="1" applyNumberFormat="1" applyFont="1" applyFill="1" applyBorder="1" applyAlignment="1">
      <alignment horizontal="center" vertical="center"/>
    </xf>
    <xf numFmtId="39" fontId="12" fillId="0" borderId="115" xfId="0" applyNumberFormat="1" applyFont="1" applyBorder="1" applyAlignment="1">
      <alignment horizontal="center" vertical="center"/>
    </xf>
    <xf numFmtId="37" fontId="12" fillId="0" borderId="53" xfId="1" applyNumberFormat="1" applyFont="1" applyFill="1" applyBorder="1" applyAlignment="1">
      <alignment horizontal="center" vertical="center"/>
    </xf>
    <xf numFmtId="0" fontId="0" fillId="4" borderId="0" xfId="0" applyFill="1" applyAlignment="1">
      <alignment horizontal="center" vertical="center" wrapText="1"/>
    </xf>
    <xf numFmtId="0" fontId="0" fillId="0" borderId="0" xfId="0" applyAlignment="1">
      <alignment wrapText="1"/>
    </xf>
    <xf numFmtId="0" fontId="20" fillId="0" borderId="5" xfId="2" applyFill="1" applyBorder="1" applyAlignment="1" applyProtection="1">
      <alignment horizontal="center" vertical="center" wrapText="1"/>
    </xf>
    <xf numFmtId="0" fontId="20" fillId="4" borderId="0" xfId="2" applyFill="1" applyAlignment="1" applyProtection="1">
      <alignment wrapText="1"/>
    </xf>
    <xf numFmtId="0" fontId="12" fillId="4" borderId="72" xfId="0" applyFont="1" applyFill="1" applyBorder="1" applyAlignment="1">
      <alignment horizontal="center" vertical="center"/>
    </xf>
    <xf numFmtId="0" fontId="12" fillId="4" borderId="60" xfId="0" applyFont="1" applyFill="1" applyBorder="1" applyAlignment="1">
      <alignment horizontal="center" vertical="center"/>
    </xf>
    <xf numFmtId="0" fontId="12" fillId="4" borderId="11" xfId="0" applyFont="1" applyFill="1" applyBorder="1" applyAlignment="1">
      <alignment horizontal="center" vertical="center"/>
    </xf>
    <xf numFmtId="0" fontId="20" fillId="4" borderId="114" xfId="2" applyFill="1" applyBorder="1" applyAlignment="1" applyProtection="1">
      <alignment horizontal="center" vertical="center"/>
    </xf>
    <xf numFmtId="0" fontId="20" fillId="4" borderId="53" xfId="2" applyFill="1" applyBorder="1" applyAlignment="1" applyProtection="1">
      <alignment horizontal="center" vertical="center"/>
    </xf>
    <xf numFmtId="0" fontId="15" fillId="0" borderId="11" xfId="0" applyFont="1" applyBorder="1" applyAlignment="1">
      <alignment horizontal="center" wrapText="1"/>
    </xf>
    <xf numFmtId="0" fontId="15" fillId="4" borderId="0" xfId="0" applyFont="1" applyFill="1"/>
    <xf numFmtId="0" fontId="12" fillId="0" borderId="0" xfId="0" applyFont="1"/>
    <xf numFmtId="0" fontId="50" fillId="0" borderId="113" xfId="0" applyFont="1" applyBorder="1" applyAlignment="1">
      <alignment horizontal="center" vertical="center"/>
    </xf>
    <xf numFmtId="0" fontId="51" fillId="0" borderId="71" xfId="0" applyFont="1" applyBorder="1" applyAlignment="1">
      <alignment horizontal="center" vertical="center"/>
    </xf>
    <xf numFmtId="0" fontId="51" fillId="0" borderId="73" xfId="0" applyFont="1" applyBorder="1" applyAlignment="1">
      <alignment horizontal="center" vertical="center"/>
    </xf>
    <xf numFmtId="0" fontId="51" fillId="0" borderId="76" xfId="0" applyFont="1" applyBorder="1" applyAlignment="1">
      <alignment horizontal="center" vertical="center"/>
    </xf>
    <xf numFmtId="0" fontId="51" fillId="0" borderId="61" xfId="0" applyFont="1" applyBorder="1" applyAlignment="1">
      <alignment horizontal="center" vertical="center"/>
    </xf>
    <xf numFmtId="0" fontId="51" fillId="0" borderId="74" xfId="0" applyFont="1" applyBorder="1" applyAlignment="1">
      <alignment horizontal="center" vertical="center"/>
    </xf>
    <xf numFmtId="0" fontId="51" fillId="0" borderId="63" xfId="0" applyFont="1" applyBorder="1" applyAlignment="1">
      <alignment horizontal="center" vertical="center"/>
    </xf>
    <xf numFmtId="3" fontId="12" fillId="0" borderId="112" xfId="0" applyNumberFormat="1" applyFont="1" applyBorder="1" applyAlignment="1">
      <alignment horizontal="center" vertical="center" wrapText="1"/>
    </xf>
    <xf numFmtId="166" fontId="12" fillId="66" borderId="59" xfId="3" applyNumberFormat="1" applyFont="1" applyFill="1" applyBorder="1" applyAlignment="1">
      <alignment horizontal="center" vertical="center"/>
    </xf>
    <xf numFmtId="166" fontId="12" fillId="66" borderId="61" xfId="3" applyNumberFormat="1" applyFont="1" applyFill="1" applyBorder="1" applyAlignment="1">
      <alignment horizontal="center" vertical="center"/>
    </xf>
    <xf numFmtId="166" fontId="12" fillId="66" borderId="63" xfId="3" applyNumberFormat="1" applyFont="1" applyFill="1" applyBorder="1" applyAlignment="1">
      <alignment horizontal="center" vertical="center"/>
    </xf>
    <xf numFmtId="0" fontId="50" fillId="0" borderId="66" xfId="0" applyFont="1" applyBorder="1" applyAlignment="1">
      <alignment horizontal="center" vertical="center"/>
    </xf>
    <xf numFmtId="0" fontId="12" fillId="4" borderId="96" xfId="0" applyFont="1" applyFill="1" applyBorder="1" applyAlignment="1">
      <alignment horizontal="left" vertical="top" wrapText="1"/>
    </xf>
    <xf numFmtId="3" fontId="12" fillId="4" borderId="80" xfId="0" applyNumberFormat="1" applyFont="1" applyFill="1" applyBorder="1" applyAlignment="1">
      <alignment horizontal="center" vertical="center" wrapText="1"/>
    </xf>
    <xf numFmtId="3" fontId="12" fillId="59" borderId="80" xfId="0" applyNumberFormat="1" applyFont="1" applyFill="1" applyBorder="1" applyAlignment="1">
      <alignment horizontal="center" vertical="center" wrapText="1"/>
    </xf>
    <xf numFmtId="3" fontId="12" fillId="59" borderId="107" xfId="0" applyNumberFormat="1" applyFont="1" applyFill="1" applyBorder="1" applyAlignment="1">
      <alignment horizontal="center" vertical="center" wrapText="1"/>
    </xf>
    <xf numFmtId="0" fontId="12" fillId="59" borderId="80" xfId="0" applyFont="1" applyFill="1" applyBorder="1" applyAlignment="1">
      <alignment horizontal="center" vertical="center" wrapText="1"/>
    </xf>
    <xf numFmtId="3" fontId="12" fillId="59" borderId="79" xfId="0" applyNumberFormat="1" applyFont="1" applyFill="1" applyBorder="1" applyAlignment="1">
      <alignment horizontal="center" vertical="center" wrapText="1"/>
    </xf>
    <xf numFmtId="3" fontId="12" fillId="0" borderId="80" xfId="0" applyNumberFormat="1" applyFont="1" applyBorder="1" applyAlignment="1">
      <alignment horizontal="center" vertical="center" wrapText="1"/>
    </xf>
    <xf numFmtId="3" fontId="12" fillId="0" borderId="107" xfId="0" applyNumberFormat="1" applyFont="1" applyBorder="1" applyAlignment="1">
      <alignment horizontal="center" vertical="center" wrapText="1"/>
    </xf>
    <xf numFmtId="3" fontId="12" fillId="0" borderId="11" xfId="0" applyNumberFormat="1" applyFont="1" applyBorder="1" applyAlignment="1">
      <alignment horizontal="center" vertical="center" wrapText="1"/>
    </xf>
    <xf numFmtId="0" fontId="12" fillId="0" borderId="4" xfId="0" applyFont="1" applyBorder="1" applyAlignment="1">
      <alignment horizontal="left" vertical="top" wrapText="1"/>
    </xf>
    <xf numFmtId="0" fontId="12" fillId="4" borderId="85" xfId="0" applyFont="1" applyFill="1" applyBorder="1" applyAlignment="1">
      <alignment horizontal="center" vertical="center" wrapText="1"/>
    </xf>
    <xf numFmtId="166" fontId="0" fillId="0" borderId="0" xfId="0" applyNumberFormat="1"/>
    <xf numFmtId="165" fontId="70" fillId="61" borderId="34" xfId="0" applyNumberFormat="1" applyFont="1" applyFill="1" applyBorder="1" applyAlignment="1">
      <alignment horizontal="center" vertical="center" wrapText="1"/>
    </xf>
    <xf numFmtId="0" fontId="12" fillId="0" borderId="4" xfId="0" applyFont="1" applyBorder="1" applyAlignment="1">
      <alignment horizontal="left" vertical="top"/>
    </xf>
    <xf numFmtId="0" fontId="0" fillId="36" borderId="5" xfId="0" applyFill="1" applyBorder="1" applyAlignment="1">
      <alignment horizontal="center" vertical="center"/>
    </xf>
    <xf numFmtId="0" fontId="0" fillId="36" borderId="5" xfId="0" applyFill="1" applyBorder="1" applyAlignment="1">
      <alignment horizontal="center" vertical="center" wrapText="1"/>
    </xf>
    <xf numFmtId="0" fontId="12" fillId="4" borderId="11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20" fillId="0" borderId="5" xfId="2" applyBorder="1" applyAlignment="1" applyProtection="1">
      <alignment horizontal="center" vertical="center"/>
    </xf>
    <xf numFmtId="3" fontId="51" fillId="36" borderId="112" xfId="0" applyNumberFormat="1" applyFont="1" applyFill="1" applyBorder="1" applyAlignment="1">
      <alignment horizontal="center" vertical="center"/>
    </xf>
    <xf numFmtId="3" fontId="51" fillId="36" borderId="114" xfId="0" applyNumberFormat="1" applyFont="1" applyFill="1" applyBorder="1" applyAlignment="1">
      <alignment horizontal="center" vertical="center"/>
    </xf>
    <xf numFmtId="3" fontId="12" fillId="36" borderId="112" xfId="0" applyNumberFormat="1" applyFont="1" applyFill="1" applyBorder="1" applyAlignment="1">
      <alignment horizontal="center" vertical="center" wrapText="1"/>
    </xf>
    <xf numFmtId="3" fontId="12" fillId="36" borderId="114" xfId="0" applyNumberFormat="1" applyFont="1" applyFill="1" applyBorder="1" applyAlignment="1">
      <alignment horizontal="center" vertical="center" wrapText="1"/>
    </xf>
    <xf numFmtId="0" fontId="70" fillId="61" borderId="19" xfId="0" applyFont="1" applyFill="1" applyBorder="1" applyAlignment="1">
      <alignment horizontal="center" vertical="center" wrapText="1"/>
    </xf>
    <xf numFmtId="0" fontId="12" fillId="4" borderId="77" xfId="0" applyFont="1" applyFill="1" applyBorder="1" applyAlignment="1">
      <alignment horizontal="center" vertical="center" wrapText="1"/>
    </xf>
    <xf numFmtId="0" fontId="12" fillId="67" borderId="51" xfId="0" applyFont="1" applyFill="1" applyBorder="1" applyAlignment="1">
      <alignment horizontal="center" vertical="center" wrapText="1"/>
    </xf>
    <xf numFmtId="0" fontId="12" fillId="4" borderId="11" xfId="0" applyFont="1" applyFill="1" applyBorder="1" applyAlignment="1">
      <alignment horizontal="center" vertical="center" wrapText="1"/>
    </xf>
    <xf numFmtId="3" fontId="47" fillId="36" borderId="7" xfId="0" applyNumberFormat="1" applyFont="1" applyFill="1" applyBorder="1" applyAlignment="1">
      <alignment horizontal="center" vertical="center"/>
    </xf>
    <xf numFmtId="0" fontId="15" fillId="67" borderId="115" xfId="0" applyFont="1" applyFill="1" applyBorder="1" applyAlignment="1">
      <alignment horizontal="center" vertical="center" wrapText="1"/>
    </xf>
    <xf numFmtId="0" fontId="15" fillId="67" borderId="131" xfId="0" applyFont="1" applyFill="1" applyBorder="1" applyAlignment="1">
      <alignment horizontal="center" vertical="center" wrapText="1"/>
    </xf>
    <xf numFmtId="0" fontId="15" fillId="4" borderId="48" xfId="0" applyFont="1" applyFill="1" applyBorder="1" applyAlignment="1">
      <alignment horizontal="center" vertical="center" wrapText="1"/>
    </xf>
    <xf numFmtId="3" fontId="15" fillId="67" borderId="119" xfId="0" applyNumberFormat="1" applyFont="1" applyFill="1" applyBorder="1" applyAlignment="1">
      <alignment horizontal="center" vertical="center" wrapText="1"/>
    </xf>
    <xf numFmtId="3" fontId="15" fillId="67" borderId="52" xfId="0" applyNumberFormat="1" applyFont="1" applyFill="1" applyBorder="1" applyAlignment="1">
      <alignment horizontal="center" vertical="center" wrapText="1"/>
    </xf>
    <xf numFmtId="3" fontId="50" fillId="0" borderId="112" xfId="0" applyNumberFormat="1" applyFont="1" applyBorder="1" applyAlignment="1">
      <alignment horizontal="center" vertical="center"/>
    </xf>
    <xf numFmtId="0" fontId="12" fillId="0" borderId="64" xfId="0" applyFont="1" applyBorder="1" applyAlignment="1">
      <alignment horizontal="left" vertical="top"/>
    </xf>
    <xf numFmtId="0" fontId="12" fillId="0" borderId="112" xfId="0" applyFont="1" applyBorder="1" applyAlignment="1">
      <alignment horizontal="center"/>
    </xf>
    <xf numFmtId="0" fontId="0" fillId="0" borderId="112" xfId="0" applyBorder="1" applyAlignment="1">
      <alignment horizontal="center"/>
    </xf>
    <xf numFmtId="0" fontId="15" fillId="0" borderId="112" xfId="0" applyFont="1" applyBorder="1" applyAlignment="1">
      <alignment horizontal="center"/>
    </xf>
    <xf numFmtId="173" fontId="12" fillId="4" borderId="0" xfId="0" applyNumberFormat="1" applyFont="1" applyFill="1"/>
    <xf numFmtId="3" fontId="15" fillId="0" borderId="17" xfId="0" applyNumberFormat="1" applyFont="1" applyBorder="1" applyAlignment="1">
      <alignment horizontal="center" vertical="center"/>
    </xf>
    <xf numFmtId="3" fontId="15" fillId="0" borderId="118" xfId="0" applyNumberFormat="1" applyFont="1" applyBorder="1" applyAlignment="1">
      <alignment horizontal="center" vertical="center"/>
    </xf>
    <xf numFmtId="170" fontId="0" fillId="4" borderId="0" xfId="0" applyNumberFormat="1" applyFill="1"/>
    <xf numFmtId="3" fontId="15" fillId="0" borderId="22" xfId="0" applyNumberFormat="1" applyFont="1" applyBorder="1" applyAlignment="1">
      <alignment horizontal="center" vertical="center"/>
    </xf>
    <xf numFmtId="170" fontId="15" fillId="0" borderId="38" xfId="0" applyNumberFormat="1" applyFont="1" applyBorder="1" applyAlignment="1">
      <alignment horizontal="center" vertical="center"/>
    </xf>
    <xf numFmtId="3" fontId="12" fillId="0" borderId="16" xfId="0" applyNumberFormat="1" applyFont="1" applyBorder="1" applyAlignment="1">
      <alignment horizontal="center" vertical="center"/>
    </xf>
    <xf numFmtId="170" fontId="12" fillId="0" borderId="10" xfId="0" applyNumberFormat="1" applyFont="1" applyBorder="1" applyAlignment="1">
      <alignment horizontal="center" vertical="center"/>
    </xf>
    <xf numFmtId="170" fontId="0" fillId="0" borderId="60" xfId="0" applyNumberFormat="1" applyBorder="1" applyAlignment="1">
      <alignment horizontal="center" vertical="center"/>
    </xf>
    <xf numFmtId="3" fontId="15" fillId="0" borderId="17" xfId="0" applyNumberFormat="1" applyFont="1" applyBorder="1" applyAlignment="1">
      <alignment horizontal="center"/>
    </xf>
    <xf numFmtId="170" fontId="15" fillId="0" borderId="17" xfId="0" applyNumberFormat="1" applyFont="1" applyBorder="1" applyAlignment="1">
      <alignment horizontal="center"/>
    </xf>
    <xf numFmtId="4" fontId="0" fillId="0" borderId="60" xfId="0" applyNumberFormat="1" applyBorder="1" applyAlignment="1">
      <alignment horizontal="center" vertical="center"/>
    </xf>
    <xf numFmtId="170" fontId="0" fillId="0" borderId="58" xfId="0" applyNumberFormat="1" applyBorder="1" applyAlignment="1">
      <alignment horizontal="center" vertical="center"/>
    </xf>
    <xf numFmtId="170" fontId="12" fillId="0" borderId="63" xfId="0" applyNumberFormat="1" applyFont="1" applyBorder="1" applyAlignment="1">
      <alignment horizontal="center" vertical="center"/>
    </xf>
    <xf numFmtId="4" fontId="12" fillId="0" borderId="62" xfId="0" applyNumberFormat="1" applyFont="1" applyBorder="1" applyAlignment="1">
      <alignment horizontal="center" vertical="center"/>
    </xf>
    <xf numFmtId="171" fontId="12" fillId="0" borderId="62" xfId="0" applyNumberFormat="1" applyFont="1" applyBorder="1" applyAlignment="1">
      <alignment horizontal="center" vertical="center"/>
    </xf>
    <xf numFmtId="3" fontId="12" fillId="0" borderId="112" xfId="1" applyNumberFormat="1" applyFont="1" applyFill="1" applyBorder="1" applyAlignment="1">
      <alignment horizontal="center" vertical="center"/>
    </xf>
    <xf numFmtId="170" fontId="12" fillId="0" borderId="114" xfId="1" applyNumberFormat="1" applyFont="1" applyFill="1" applyBorder="1" applyAlignment="1">
      <alignment horizontal="center" vertical="center"/>
    </xf>
    <xf numFmtId="0" fontId="12" fillId="0" borderId="112" xfId="4" applyFont="1" applyBorder="1" applyAlignment="1">
      <alignment horizontal="center" vertical="center" wrapText="1"/>
    </xf>
    <xf numFmtId="0" fontId="12" fillId="0" borderId="118" xfId="4" applyFont="1" applyBorder="1" applyAlignment="1">
      <alignment horizontal="center" vertical="center" wrapText="1"/>
    </xf>
    <xf numFmtId="0" fontId="15" fillId="4" borderId="0" xfId="0" applyFont="1" applyFill="1" applyAlignment="1">
      <alignment vertical="top" wrapText="1"/>
    </xf>
    <xf numFmtId="4" fontId="70" fillId="61" borderId="16" xfId="0" applyNumberFormat="1" applyFont="1" applyFill="1" applyBorder="1" applyAlignment="1">
      <alignment horizontal="center" vertical="center" wrapText="1"/>
    </xf>
    <xf numFmtId="0" fontId="70" fillId="61" borderId="16" xfId="110" applyFont="1" applyFill="1" applyBorder="1" applyAlignment="1">
      <alignment horizontal="center" vertical="center" wrapText="1"/>
    </xf>
    <xf numFmtId="0" fontId="70" fillId="61" borderId="10" xfId="110" applyFont="1" applyFill="1" applyBorder="1" applyAlignment="1">
      <alignment horizontal="center" vertical="center" wrapText="1"/>
    </xf>
    <xf numFmtId="3" fontId="15" fillId="4" borderId="11" xfId="0" applyNumberFormat="1" applyFont="1" applyFill="1" applyBorder="1" applyAlignment="1">
      <alignment horizontal="center" vertical="center"/>
    </xf>
    <xf numFmtId="3" fontId="15" fillId="4" borderId="70" xfId="0" applyNumberFormat="1" applyFont="1" applyFill="1" applyBorder="1" applyAlignment="1">
      <alignment horizontal="center" vertical="center"/>
    </xf>
    <xf numFmtId="166" fontId="30" fillId="0" borderId="0" xfId="110" applyNumberFormat="1" applyFont="1" applyAlignment="1">
      <alignment horizontal="center" vertical="center" wrapText="1"/>
    </xf>
    <xf numFmtId="0" fontId="30" fillId="0" borderId="9" xfId="10" applyFont="1" applyBorder="1" applyAlignment="1">
      <alignment horizontal="center" vertical="center"/>
    </xf>
    <xf numFmtId="182" fontId="47" fillId="0" borderId="112" xfId="110" applyNumberFormat="1" applyFont="1" applyBorder="1" applyAlignment="1">
      <alignment horizontal="center" vertical="center" wrapText="1"/>
    </xf>
    <xf numFmtId="181" fontId="47" fillId="0" borderId="117" xfId="110" applyNumberFormat="1" applyFont="1" applyBorder="1" applyAlignment="1">
      <alignment horizontal="center" vertical="center" wrapText="1"/>
    </xf>
    <xf numFmtId="187" fontId="47" fillId="0" borderId="114" xfId="110" applyNumberFormat="1" applyFont="1" applyBorder="1" applyAlignment="1">
      <alignment horizontal="center" vertical="center" wrapText="1"/>
    </xf>
    <xf numFmtId="181" fontId="47" fillId="0" borderId="120" xfId="110" applyNumberFormat="1" applyFont="1" applyBorder="1" applyAlignment="1">
      <alignment horizontal="center" vertical="center" wrapText="1"/>
    </xf>
    <xf numFmtId="0" fontId="30" fillId="0" borderId="71" xfId="110" applyFont="1" applyBorder="1" applyAlignment="1">
      <alignment horizontal="center" vertical="center" wrapText="1"/>
    </xf>
    <xf numFmtId="167" fontId="30" fillId="0" borderId="72" xfId="0" applyNumberFormat="1" applyFont="1" applyBorder="1" applyAlignment="1">
      <alignment horizontal="center" vertical="center"/>
    </xf>
    <xf numFmtId="185" fontId="30" fillId="0" borderId="73" xfId="0" applyNumberFormat="1" applyFont="1" applyBorder="1" applyAlignment="1">
      <alignment horizontal="center" vertical="center"/>
    </xf>
    <xf numFmtId="166" fontId="30" fillId="0" borderId="73" xfId="110" applyNumberFormat="1" applyFont="1" applyBorder="1" applyAlignment="1">
      <alignment horizontal="center" vertical="center" wrapText="1"/>
    </xf>
    <xf numFmtId="181" fontId="30" fillId="0" borderId="122" xfId="110" applyNumberFormat="1" applyFont="1" applyBorder="1" applyAlignment="1">
      <alignment horizontal="center" vertical="center" wrapText="1"/>
    </xf>
    <xf numFmtId="167" fontId="30" fillId="0" borderId="60" xfId="0" applyNumberFormat="1" applyFont="1" applyBorder="1" applyAlignment="1">
      <alignment horizontal="center" vertical="center"/>
    </xf>
    <xf numFmtId="185" fontId="30" fillId="0" borderId="61" xfId="0" applyNumberFormat="1" applyFont="1" applyBorder="1" applyAlignment="1">
      <alignment horizontal="center" vertical="center"/>
    </xf>
    <xf numFmtId="166" fontId="30" fillId="0" borderId="61" xfId="110" applyNumberFormat="1" applyFont="1" applyBorder="1" applyAlignment="1">
      <alignment horizontal="center" vertical="center" wrapText="1"/>
    </xf>
    <xf numFmtId="181" fontId="30" fillId="0" borderId="121" xfId="110" applyNumberFormat="1" applyFont="1" applyBorder="1" applyAlignment="1">
      <alignment horizontal="center" vertical="center" wrapText="1"/>
    </xf>
    <xf numFmtId="0" fontId="30" fillId="0" borderId="74" xfId="0" applyFont="1" applyBorder="1" applyAlignment="1">
      <alignment horizontal="center" vertical="center"/>
    </xf>
    <xf numFmtId="167" fontId="30" fillId="0" borderId="62" xfId="0" applyNumberFormat="1" applyFont="1" applyBorder="1" applyAlignment="1">
      <alignment horizontal="center" vertical="center"/>
    </xf>
    <xf numFmtId="185" fontId="30" fillId="0" borderId="63" xfId="0" applyNumberFormat="1" applyFont="1" applyBorder="1" applyAlignment="1">
      <alignment horizontal="center" vertical="center"/>
    </xf>
    <xf numFmtId="166" fontId="30" fillId="0" borderId="74" xfId="110" applyNumberFormat="1" applyFont="1" applyBorder="1" applyAlignment="1">
      <alignment horizontal="center" vertical="center" wrapText="1"/>
    </xf>
    <xf numFmtId="166" fontId="30" fillId="0" borderId="63" xfId="110" applyNumberFormat="1" applyFont="1" applyBorder="1" applyAlignment="1">
      <alignment horizontal="center" vertical="center" wrapText="1"/>
    </xf>
    <xf numFmtId="181" fontId="30" fillId="0" borderId="132" xfId="110" applyNumberFormat="1" applyFont="1" applyBorder="1" applyAlignment="1">
      <alignment horizontal="center" vertical="center" wrapText="1"/>
    </xf>
    <xf numFmtId="0" fontId="30" fillId="0" borderId="75" xfId="10" applyFont="1" applyBorder="1" applyAlignment="1">
      <alignment horizontal="center" vertical="center"/>
    </xf>
    <xf numFmtId="0" fontId="30" fillId="0" borderId="76" xfId="10" applyFont="1" applyBorder="1" applyAlignment="1">
      <alignment horizontal="center" vertical="center"/>
    </xf>
    <xf numFmtId="0" fontId="30" fillId="0" borderId="85" xfId="10" applyFont="1" applyBorder="1" applyAlignment="1">
      <alignment horizontal="center" vertical="center"/>
    </xf>
    <xf numFmtId="0" fontId="30" fillId="0" borderId="71" xfId="10" applyFont="1" applyBorder="1" applyAlignment="1">
      <alignment horizontal="center" vertical="center" wrapText="1"/>
    </xf>
    <xf numFmtId="3" fontId="30" fillId="0" borderId="72" xfId="10" applyNumberFormat="1" applyFont="1" applyBorder="1" applyAlignment="1">
      <alignment horizontal="center" vertical="center" wrapText="1"/>
    </xf>
    <xf numFmtId="4" fontId="30" fillId="0" borderId="72" xfId="10" applyNumberFormat="1" applyFont="1" applyBorder="1" applyAlignment="1">
      <alignment horizontal="center" vertical="center" wrapText="1"/>
    </xf>
    <xf numFmtId="177" fontId="30" fillId="0" borderId="72" xfId="10" applyNumberFormat="1" applyFont="1" applyBorder="1" applyAlignment="1">
      <alignment horizontal="center" vertical="center" wrapText="1"/>
    </xf>
    <xf numFmtId="177" fontId="30" fillId="0" borderId="73" xfId="10" applyNumberFormat="1" applyFont="1" applyBorder="1" applyAlignment="1">
      <alignment horizontal="center" vertical="center" wrapText="1"/>
    </xf>
    <xf numFmtId="0" fontId="30" fillId="0" borderId="85" xfId="10" applyFont="1" applyBorder="1" applyAlignment="1">
      <alignment horizontal="center" vertical="center" wrapText="1"/>
    </xf>
    <xf numFmtId="3" fontId="30" fillId="0" borderId="86" xfId="10" applyNumberFormat="1" applyFont="1" applyBorder="1" applyAlignment="1">
      <alignment horizontal="center" vertical="center" wrapText="1"/>
    </xf>
    <xf numFmtId="4" fontId="30" fillId="0" borderId="86" xfId="10" applyNumberFormat="1" applyFont="1" applyBorder="1" applyAlignment="1">
      <alignment horizontal="center" vertical="center" wrapText="1"/>
    </xf>
    <xf numFmtId="177" fontId="30" fillId="0" borderId="86" xfId="10" applyNumberFormat="1" applyFont="1" applyBorder="1" applyAlignment="1">
      <alignment horizontal="center" vertical="center" wrapText="1"/>
    </xf>
    <xf numFmtId="177" fontId="30" fillId="0" borderId="88" xfId="10" applyNumberFormat="1" applyFont="1" applyBorder="1" applyAlignment="1">
      <alignment horizontal="center" vertical="center" wrapText="1"/>
    </xf>
    <xf numFmtId="0" fontId="30" fillId="0" borderId="71" xfId="110" applyFont="1" applyBorder="1" applyAlignment="1">
      <alignment horizontal="center" vertical="center"/>
    </xf>
    <xf numFmtId="0" fontId="30" fillId="0" borderId="72" xfId="110" applyFont="1" applyBorder="1" applyAlignment="1">
      <alignment horizontal="center" vertical="center"/>
    </xf>
    <xf numFmtId="0" fontId="30" fillId="0" borderId="76" xfId="110" applyFont="1" applyBorder="1" applyAlignment="1">
      <alignment horizontal="center" vertical="center"/>
    </xf>
    <xf numFmtId="0" fontId="30" fillId="0" borderId="60" xfId="110" applyFont="1" applyBorder="1" applyAlignment="1">
      <alignment horizontal="center" vertical="center"/>
    </xf>
    <xf numFmtId="0" fontId="30" fillId="0" borderId="85" xfId="110" applyFont="1" applyBorder="1" applyAlignment="1">
      <alignment horizontal="center" vertical="center"/>
    </xf>
    <xf numFmtId="0" fontId="30" fillId="0" borderId="86" xfId="110" applyFont="1" applyBorder="1" applyAlignment="1">
      <alignment horizontal="center" vertical="center"/>
    </xf>
    <xf numFmtId="0" fontId="30" fillId="4" borderId="71" xfId="0" applyFont="1" applyFill="1" applyBorder="1" applyAlignment="1">
      <alignment horizontal="center" vertical="center"/>
    </xf>
    <xf numFmtId="0" fontId="30" fillId="0" borderId="72" xfId="0" applyFont="1" applyBorder="1" applyAlignment="1">
      <alignment horizontal="center" vertical="center"/>
    </xf>
    <xf numFmtId="0" fontId="30" fillId="0" borderId="76" xfId="110" applyFont="1" applyBorder="1" applyAlignment="1">
      <alignment horizontal="center" vertical="center" wrapText="1"/>
    </xf>
    <xf numFmtId="0" fontId="30" fillId="0" borderId="60" xfId="110" applyFont="1" applyBorder="1" applyAlignment="1">
      <alignment horizontal="center" vertical="center" wrapText="1"/>
    </xf>
    <xf numFmtId="0" fontId="30" fillId="4" borderId="61" xfId="0" applyFont="1" applyFill="1" applyBorder="1" applyAlignment="1">
      <alignment horizontal="center" vertical="center"/>
    </xf>
    <xf numFmtId="0" fontId="30" fillId="4" borderId="76" xfId="0" applyFont="1" applyFill="1" applyBorder="1" applyAlignment="1">
      <alignment horizontal="center" vertical="center"/>
    </xf>
    <xf numFmtId="0" fontId="30" fillId="4" borderId="60" xfId="0" applyFont="1" applyFill="1" applyBorder="1" applyAlignment="1">
      <alignment horizontal="center" vertical="center"/>
    </xf>
    <xf numFmtId="0" fontId="30" fillId="4" borderId="76" xfId="0" applyFont="1" applyFill="1" applyBorder="1" applyAlignment="1">
      <alignment horizontal="center" vertical="center" wrapText="1"/>
    </xf>
    <xf numFmtId="0" fontId="30" fillId="4" borderId="60" xfId="0" applyFont="1" applyFill="1" applyBorder="1" applyAlignment="1">
      <alignment horizontal="center" vertical="center" wrapText="1"/>
    </xf>
    <xf numFmtId="0" fontId="30" fillId="4" borderId="85" xfId="0" applyFont="1" applyFill="1" applyBorder="1" applyAlignment="1">
      <alignment horizontal="center" vertical="center"/>
    </xf>
    <xf numFmtId="0" fontId="30" fillId="0" borderId="86" xfId="110" applyFont="1" applyBorder="1" applyAlignment="1">
      <alignment horizontal="center" vertical="center" wrapText="1"/>
    </xf>
    <xf numFmtId="0" fontId="30" fillId="4" borderId="88" xfId="0" applyFont="1" applyFill="1" applyBorder="1" applyAlignment="1">
      <alignment horizontal="center" vertical="center"/>
    </xf>
    <xf numFmtId="0" fontId="47" fillId="0" borderId="9" xfId="0" applyFont="1" applyBorder="1" applyAlignment="1">
      <alignment horizontal="center" vertical="center"/>
    </xf>
    <xf numFmtId="0" fontId="84" fillId="0" borderId="113" xfId="0" applyFont="1" applyBorder="1" applyAlignment="1">
      <alignment horizontal="center" vertical="center"/>
    </xf>
    <xf numFmtId="0" fontId="84" fillId="0" borderId="11" xfId="0" applyFont="1" applyBorder="1" applyAlignment="1">
      <alignment horizontal="center" vertical="center"/>
    </xf>
    <xf numFmtId="0" fontId="47" fillId="0" borderId="9" xfId="0" applyFont="1" applyBorder="1" applyAlignment="1">
      <alignment horizontal="center" vertical="center" wrapText="1"/>
    </xf>
    <xf numFmtId="4" fontId="51" fillId="0" borderId="80" xfId="0" applyNumberFormat="1" applyFont="1" applyBorder="1" applyAlignment="1">
      <alignment horizontal="center" vertical="center"/>
    </xf>
    <xf numFmtId="4" fontId="51" fillId="0" borderId="60" xfId="0" applyNumberFormat="1" applyFont="1" applyBorder="1" applyAlignment="1">
      <alignment horizontal="center" vertical="center"/>
    </xf>
    <xf numFmtId="4" fontId="51" fillId="0" borderId="78" xfId="0" applyNumberFormat="1" applyFont="1" applyBorder="1" applyAlignment="1">
      <alignment horizontal="center" vertical="center"/>
    </xf>
    <xf numFmtId="175" fontId="51" fillId="0" borderId="78" xfId="0" applyNumberFormat="1" applyFont="1" applyBorder="1" applyAlignment="1">
      <alignment horizontal="center" vertical="center"/>
    </xf>
    <xf numFmtId="170" fontId="51" fillId="0" borderId="78" xfId="0" applyNumberFormat="1" applyFont="1" applyBorder="1" applyAlignment="1">
      <alignment horizontal="center" vertical="center"/>
    </xf>
    <xf numFmtId="4" fontId="51" fillId="0" borderId="58" xfId="0" applyNumberFormat="1" applyFont="1" applyBorder="1" applyAlignment="1">
      <alignment horizontal="center" vertical="center"/>
    </xf>
    <xf numFmtId="181" fontId="51" fillId="0" borderId="62" xfId="0" applyNumberFormat="1" applyFont="1" applyBorder="1" applyAlignment="1">
      <alignment horizontal="center" vertical="center"/>
    </xf>
    <xf numFmtId="170" fontId="51" fillId="0" borderId="62" xfId="0" applyNumberFormat="1" applyFont="1" applyBorder="1" applyAlignment="1">
      <alignment horizontal="center" vertical="center"/>
    </xf>
    <xf numFmtId="3" fontId="30" fillId="0" borderId="59" xfId="0" applyNumberFormat="1" applyFont="1" applyBorder="1" applyAlignment="1">
      <alignment horizontal="center" vertical="center"/>
    </xf>
    <xf numFmtId="170" fontId="12" fillId="0" borderId="90" xfId="0" applyNumberFormat="1" applyFont="1" applyBorder="1" applyAlignment="1">
      <alignment horizontal="center" vertical="center"/>
    </xf>
    <xf numFmtId="3" fontId="12" fillId="0" borderId="90" xfId="0" applyNumberFormat="1" applyFont="1" applyBorder="1" applyAlignment="1">
      <alignment horizontal="center" vertical="center"/>
    </xf>
    <xf numFmtId="170" fontId="12" fillId="0" borderId="84" xfId="0" applyNumberFormat="1" applyFont="1" applyBorder="1" applyAlignment="1">
      <alignment horizontal="center" vertical="center"/>
    </xf>
    <xf numFmtId="3" fontId="12" fillId="0" borderId="84" xfId="0" applyNumberFormat="1" applyFont="1" applyBorder="1" applyAlignment="1">
      <alignment horizontal="center" vertical="center"/>
    </xf>
    <xf numFmtId="170" fontId="12" fillId="0" borderId="110" xfId="0" applyNumberFormat="1" applyFont="1" applyBorder="1" applyAlignment="1">
      <alignment horizontal="center" vertical="center"/>
    </xf>
    <xf numFmtId="3" fontId="12" fillId="0" borderId="110" xfId="0" applyNumberFormat="1" applyFont="1" applyBorder="1" applyAlignment="1">
      <alignment horizontal="center" vertical="center"/>
    </xf>
    <xf numFmtId="4" fontId="12" fillId="0" borderId="73" xfId="0" applyNumberFormat="1" applyFont="1" applyBorder="1" applyAlignment="1">
      <alignment horizontal="center" vertical="center"/>
    </xf>
    <xf numFmtId="4" fontId="12" fillId="0" borderId="61" xfId="0" applyNumberFormat="1" applyFont="1" applyBorder="1" applyAlignment="1">
      <alignment horizontal="center" vertical="center"/>
    </xf>
    <xf numFmtId="3" fontId="0" fillId="0" borderId="107" xfId="0" applyNumberFormat="1" applyBorder="1" applyAlignment="1">
      <alignment horizontal="center" vertical="center"/>
    </xf>
    <xf numFmtId="170" fontId="0" fillId="0" borderId="81" xfId="0" applyNumberFormat="1" applyBorder="1" applyAlignment="1">
      <alignment horizontal="center" vertical="center"/>
    </xf>
    <xf numFmtId="170" fontId="0" fillId="0" borderId="38" xfId="0" applyNumberFormat="1" applyBorder="1" applyAlignment="1">
      <alignment horizontal="center" vertical="center"/>
    </xf>
    <xf numFmtId="3" fontId="0" fillId="0" borderId="81" xfId="0" applyNumberFormat="1" applyBorder="1" applyAlignment="1">
      <alignment horizontal="center" vertical="center"/>
    </xf>
    <xf numFmtId="3" fontId="0" fillId="0" borderId="38" xfId="0" applyNumberFormat="1" applyBorder="1" applyAlignment="1">
      <alignment horizontal="center" vertical="center"/>
    </xf>
    <xf numFmtId="3" fontId="0" fillId="0" borderId="76" xfId="0" applyNumberFormat="1" applyBorder="1" applyAlignment="1">
      <alignment horizontal="center" vertical="center"/>
    </xf>
    <xf numFmtId="4" fontId="0" fillId="0" borderId="84" xfId="0" applyNumberFormat="1" applyBorder="1" applyAlignment="1">
      <alignment horizontal="center" vertical="center"/>
    </xf>
    <xf numFmtId="3" fontId="0" fillId="0" borderId="84" xfId="0" applyNumberFormat="1" applyBorder="1" applyAlignment="1">
      <alignment horizontal="center" vertical="center"/>
    </xf>
    <xf numFmtId="3" fontId="0" fillId="0" borderId="85" xfId="0" applyNumberFormat="1" applyBorder="1" applyAlignment="1">
      <alignment horizontal="center" vertical="center"/>
    </xf>
    <xf numFmtId="4" fontId="0" fillId="0" borderId="87" xfId="0" applyNumberFormat="1" applyBorder="1" applyAlignment="1">
      <alignment horizontal="center" vertical="center"/>
    </xf>
    <xf numFmtId="3" fontId="0" fillId="0" borderId="87" xfId="0" applyNumberFormat="1" applyBorder="1" applyAlignment="1">
      <alignment horizontal="center" vertical="center"/>
    </xf>
    <xf numFmtId="171" fontId="0" fillId="0" borderId="88" xfId="0" applyNumberFormat="1" applyBorder="1" applyAlignment="1">
      <alignment horizontal="center" vertical="center"/>
    </xf>
    <xf numFmtId="168" fontId="12" fillId="0" borderId="122" xfId="0" applyNumberFormat="1" applyFont="1" applyBorder="1" applyAlignment="1">
      <alignment horizontal="center" vertical="center"/>
    </xf>
    <xf numFmtId="171" fontId="0" fillId="0" borderId="110" xfId="0" applyNumberFormat="1" applyBorder="1" applyAlignment="1">
      <alignment horizontal="center" vertical="center"/>
    </xf>
    <xf numFmtId="3" fontId="0" fillId="0" borderId="110" xfId="0" applyNumberFormat="1" applyBorder="1" applyAlignment="1">
      <alignment horizontal="center" vertical="center"/>
    </xf>
    <xf numFmtId="180" fontId="0" fillId="0" borderId="73" xfId="0" applyNumberFormat="1" applyBorder="1" applyAlignment="1">
      <alignment horizontal="center" vertical="center"/>
    </xf>
    <xf numFmtId="168" fontId="12" fillId="0" borderId="121" xfId="0" applyNumberFormat="1" applyFont="1" applyBorder="1" applyAlignment="1">
      <alignment horizontal="center" vertical="center"/>
    </xf>
    <xf numFmtId="171" fontId="0" fillId="0" borderId="84" xfId="0" applyNumberFormat="1" applyBorder="1" applyAlignment="1">
      <alignment horizontal="center" vertical="center"/>
    </xf>
    <xf numFmtId="180" fontId="0" fillId="0" borderId="61" xfId="0" applyNumberFormat="1" applyBorder="1" applyAlignment="1">
      <alignment horizontal="center" vertical="center"/>
    </xf>
    <xf numFmtId="168" fontId="12" fillId="0" borderId="123" xfId="0" applyNumberFormat="1" applyFont="1" applyBorder="1" applyAlignment="1">
      <alignment horizontal="center" vertical="center"/>
    </xf>
    <xf numFmtId="171" fontId="0" fillId="0" borderId="87" xfId="0" applyNumberFormat="1" applyBorder="1" applyAlignment="1">
      <alignment horizontal="center" vertical="center"/>
    </xf>
    <xf numFmtId="180" fontId="0" fillId="0" borderId="88" xfId="0" applyNumberFormat="1" applyBorder="1" applyAlignment="1">
      <alignment horizontal="center" vertical="center"/>
    </xf>
    <xf numFmtId="3" fontId="12" fillId="67" borderId="60" xfId="0" applyNumberFormat="1" applyFont="1" applyFill="1" applyBorder="1" applyAlignment="1">
      <alignment horizontal="center" vertical="center"/>
    </xf>
    <xf numFmtId="3" fontId="12" fillId="67" borderId="72" xfId="0" applyNumberFormat="1" applyFont="1" applyFill="1" applyBorder="1" applyAlignment="1">
      <alignment horizontal="center" vertical="center"/>
    </xf>
    <xf numFmtId="3" fontId="12" fillId="67" borderId="62" xfId="0" applyNumberFormat="1" applyFont="1" applyFill="1" applyBorder="1" applyAlignment="1">
      <alignment horizontal="center" vertical="center"/>
    </xf>
    <xf numFmtId="3" fontId="0" fillId="67" borderId="58" xfId="0" applyNumberFormat="1" applyFill="1" applyBorder="1" applyAlignment="1">
      <alignment horizontal="center" vertical="center"/>
    </xf>
    <xf numFmtId="3" fontId="0" fillId="67" borderId="60" xfId="0" applyNumberFormat="1" applyFill="1" applyBorder="1" applyAlignment="1">
      <alignment horizontal="center" vertical="center"/>
    </xf>
    <xf numFmtId="3" fontId="0" fillId="67" borderId="62" xfId="0" applyNumberFormat="1" applyFill="1" applyBorder="1" applyAlignment="1">
      <alignment horizontal="center" vertical="center"/>
    </xf>
    <xf numFmtId="3" fontId="0" fillId="67" borderId="16" xfId="0" applyNumberFormat="1" applyFill="1" applyBorder="1" applyAlignment="1">
      <alignment horizontal="center" vertical="center"/>
    </xf>
    <xf numFmtId="3" fontId="12" fillId="67" borderId="16" xfId="0" applyNumberFormat="1" applyFont="1" applyFill="1" applyBorder="1" applyAlignment="1">
      <alignment horizontal="center" vertical="center"/>
    </xf>
    <xf numFmtId="3" fontId="12" fillId="67" borderId="58" xfId="0" applyNumberFormat="1" applyFont="1" applyFill="1" applyBorder="1" applyAlignment="1">
      <alignment horizontal="center" vertical="center"/>
    </xf>
    <xf numFmtId="0" fontId="70" fillId="2" borderId="34" xfId="0" applyFont="1" applyFill="1" applyBorder="1" applyAlignment="1">
      <alignment horizontal="center" vertical="center" wrapText="1"/>
    </xf>
    <xf numFmtId="3" fontId="12" fillId="67" borderId="110" xfId="0" applyNumberFormat="1" applyFont="1" applyFill="1" applyBorder="1" applyAlignment="1">
      <alignment horizontal="center" vertical="center"/>
    </xf>
    <xf numFmtId="3" fontId="12" fillId="67" borderId="84" xfId="0" applyNumberFormat="1" applyFont="1" applyFill="1" applyBorder="1" applyAlignment="1">
      <alignment horizontal="center" vertical="center"/>
    </xf>
    <xf numFmtId="3" fontId="12" fillId="67" borderId="79" xfId="0" applyNumberFormat="1" applyFont="1" applyFill="1" applyBorder="1" applyAlignment="1">
      <alignment horizontal="center" vertical="center"/>
    </xf>
    <xf numFmtId="3" fontId="15" fillId="0" borderId="108" xfId="0" applyNumberFormat="1" applyFont="1" applyBorder="1" applyAlignment="1">
      <alignment horizontal="center" vertical="center"/>
    </xf>
    <xf numFmtId="3" fontId="12" fillId="67" borderId="104" xfId="0" applyNumberFormat="1" applyFont="1" applyFill="1" applyBorder="1" applyAlignment="1">
      <alignment horizontal="center" vertical="center"/>
    </xf>
    <xf numFmtId="3" fontId="0" fillId="67" borderId="84" xfId="0" applyNumberFormat="1" applyFill="1" applyBorder="1" applyAlignment="1">
      <alignment horizontal="center" vertical="center"/>
    </xf>
    <xf numFmtId="3" fontId="12" fillId="0" borderId="79" xfId="0" applyNumberFormat="1" applyFont="1" applyBorder="1" applyAlignment="1">
      <alignment horizontal="center" vertical="center"/>
    </xf>
    <xf numFmtId="3" fontId="12" fillId="0" borderId="34" xfId="0" applyNumberFormat="1" applyFont="1" applyBorder="1" applyAlignment="1">
      <alignment horizontal="center" vertical="center"/>
    </xf>
    <xf numFmtId="3" fontId="15" fillId="4" borderId="116" xfId="0" applyNumberFormat="1" applyFont="1" applyFill="1" applyBorder="1" applyAlignment="1">
      <alignment horizontal="center" vertical="center"/>
    </xf>
    <xf numFmtId="3" fontId="15" fillId="4" borderId="36" xfId="0" applyNumberFormat="1" applyFont="1" applyFill="1" applyBorder="1" applyAlignment="1">
      <alignment horizontal="center"/>
    </xf>
    <xf numFmtId="0" fontId="70" fillId="2" borderId="67" xfId="0" applyFont="1" applyFill="1" applyBorder="1" applyAlignment="1">
      <alignment horizontal="center" vertical="center" wrapText="1"/>
    </xf>
    <xf numFmtId="3" fontId="12" fillId="67" borderId="122" xfId="0" applyNumberFormat="1" applyFont="1" applyFill="1" applyBorder="1" applyAlignment="1">
      <alignment horizontal="center" vertical="center"/>
    </xf>
    <xf numFmtId="3" fontId="12" fillId="67" borderId="121" xfId="0" applyNumberFormat="1" applyFont="1" applyFill="1" applyBorder="1" applyAlignment="1">
      <alignment horizontal="center" vertical="center"/>
    </xf>
    <xf numFmtId="3" fontId="12" fillId="67" borderId="132" xfId="0" applyNumberFormat="1" applyFont="1" applyFill="1" applyBorder="1" applyAlignment="1">
      <alignment horizontal="center" vertical="center"/>
    </xf>
    <xf numFmtId="3" fontId="15" fillId="0" borderId="133" xfId="0" applyNumberFormat="1" applyFont="1" applyBorder="1" applyAlignment="1">
      <alignment horizontal="center" vertical="center"/>
    </xf>
    <xf numFmtId="3" fontId="12" fillId="67" borderId="134" xfId="0" applyNumberFormat="1" applyFont="1" applyFill="1" applyBorder="1" applyAlignment="1">
      <alignment horizontal="center" vertical="center"/>
    </xf>
    <xf numFmtId="3" fontId="0" fillId="67" borderId="121" xfId="0" applyNumberFormat="1" applyFill="1" applyBorder="1" applyAlignment="1">
      <alignment horizontal="center" vertical="center"/>
    </xf>
    <xf numFmtId="170" fontId="12" fillId="0" borderId="132" xfId="0" applyNumberFormat="1" applyFont="1" applyBorder="1" applyAlignment="1">
      <alignment horizontal="center" vertical="center"/>
    </xf>
    <xf numFmtId="170" fontId="12" fillId="0" borderId="67" xfId="0" applyNumberFormat="1" applyFont="1" applyBorder="1" applyAlignment="1">
      <alignment horizontal="center" vertical="center"/>
    </xf>
    <xf numFmtId="170" fontId="15" fillId="4" borderId="35" xfId="0" applyNumberFormat="1" applyFont="1" applyFill="1" applyBorder="1" applyAlignment="1">
      <alignment horizontal="center"/>
    </xf>
    <xf numFmtId="170" fontId="12" fillId="0" borderId="71" xfId="0" applyNumberFormat="1" applyFont="1" applyBorder="1" applyAlignment="1">
      <alignment horizontal="center" vertical="center"/>
    </xf>
    <xf numFmtId="170" fontId="12" fillId="0" borderId="74" xfId="0" applyNumberFormat="1" applyFont="1" applyBorder="1" applyAlignment="1">
      <alignment horizontal="center" vertical="center"/>
    </xf>
    <xf numFmtId="170" fontId="15" fillId="0" borderId="23" xfId="0" applyNumberFormat="1" applyFont="1" applyBorder="1" applyAlignment="1">
      <alignment horizontal="center" vertical="center"/>
    </xf>
    <xf numFmtId="170" fontId="12" fillId="0" borderId="75" xfId="0" applyNumberFormat="1" applyFont="1" applyBorder="1" applyAlignment="1">
      <alignment horizontal="center" vertical="center"/>
    </xf>
    <xf numFmtId="170" fontId="15" fillId="0" borderId="66" xfId="0" applyNumberFormat="1" applyFont="1" applyBorder="1" applyAlignment="1">
      <alignment horizontal="center" vertical="center"/>
    </xf>
    <xf numFmtId="170" fontId="12" fillId="0" borderId="9" xfId="0" applyNumberFormat="1" applyFont="1" applyBorder="1" applyAlignment="1">
      <alignment horizontal="center" vertical="center"/>
    </xf>
    <xf numFmtId="170" fontId="15" fillId="0" borderId="4" xfId="0" applyNumberFormat="1" applyFont="1" applyBorder="1" applyAlignment="1">
      <alignment horizontal="center" vertical="center"/>
    </xf>
    <xf numFmtId="0" fontId="70" fillId="65" borderId="10" xfId="0" applyFont="1" applyFill="1" applyBorder="1" applyAlignment="1">
      <alignment horizontal="center" vertical="center" wrapText="1"/>
    </xf>
    <xf numFmtId="3" fontId="12" fillId="67" borderId="73" xfId="0" applyNumberFormat="1" applyFont="1" applyFill="1" applyBorder="1" applyAlignment="1">
      <alignment horizontal="center" vertical="center"/>
    </xf>
    <xf numFmtId="3" fontId="12" fillId="67" borderId="76" xfId="0" applyNumberFormat="1" applyFont="1" applyFill="1" applyBorder="1" applyAlignment="1">
      <alignment horizontal="center" vertical="center"/>
    </xf>
    <xf numFmtId="3" fontId="12" fillId="67" borderId="61" xfId="0" applyNumberFormat="1" applyFont="1" applyFill="1" applyBorder="1" applyAlignment="1">
      <alignment horizontal="center" vertical="center"/>
    </xf>
    <xf numFmtId="3" fontId="12" fillId="0" borderId="76" xfId="0" applyNumberFormat="1" applyFont="1" applyBorder="1" applyAlignment="1">
      <alignment horizontal="center" vertical="center"/>
    </xf>
    <xf numFmtId="3" fontId="12" fillId="67" borderId="74" xfId="0" applyNumberFormat="1" applyFont="1" applyFill="1" applyBorder="1" applyAlignment="1">
      <alignment horizontal="center" vertical="center"/>
    </xf>
    <xf numFmtId="3" fontId="12" fillId="67" borderId="63" xfId="0" applyNumberFormat="1" applyFont="1" applyFill="1" applyBorder="1" applyAlignment="1">
      <alignment horizontal="center" vertical="center"/>
    </xf>
    <xf numFmtId="3" fontId="15" fillId="0" borderId="38" xfId="0" applyNumberFormat="1" applyFont="1" applyBorder="1" applyAlignment="1">
      <alignment horizontal="center" vertical="center"/>
    </xf>
    <xf numFmtId="3" fontId="0" fillId="67" borderId="59" xfId="0" applyNumberFormat="1" applyFill="1" applyBorder="1" applyAlignment="1">
      <alignment horizontal="center" vertical="center"/>
    </xf>
    <xf numFmtId="3" fontId="0" fillId="67" borderId="76" xfId="0" applyNumberFormat="1" applyFill="1" applyBorder="1" applyAlignment="1">
      <alignment horizontal="center" vertical="center"/>
    </xf>
    <xf numFmtId="3" fontId="0" fillId="67" borderId="61" xfId="0" applyNumberFormat="1" applyFill="1" applyBorder="1" applyAlignment="1">
      <alignment horizontal="center" vertical="center"/>
    </xf>
    <xf numFmtId="3" fontId="12" fillId="67" borderId="10" xfId="0" applyNumberFormat="1" applyFont="1" applyFill="1" applyBorder="1" applyAlignment="1">
      <alignment horizontal="center" vertical="center"/>
    </xf>
    <xf numFmtId="3" fontId="15" fillId="0" borderId="4" xfId="0" applyNumberFormat="1" applyFont="1" applyBorder="1" applyAlignment="1">
      <alignment horizontal="center"/>
    </xf>
    <xf numFmtId="4" fontId="15" fillId="0" borderId="5" xfId="0" applyNumberFormat="1" applyFont="1" applyBorder="1" applyAlignment="1">
      <alignment horizontal="center"/>
    </xf>
    <xf numFmtId="0" fontId="70" fillId="61" borderId="18" xfId="0" applyFont="1" applyFill="1" applyBorder="1" applyAlignment="1">
      <alignment horizontal="center" vertical="center"/>
    </xf>
    <xf numFmtId="0" fontId="12" fillId="0" borderId="92" xfId="0" applyFont="1" applyBorder="1" applyAlignment="1">
      <alignment horizontal="center" vertical="center" wrapText="1"/>
    </xf>
    <xf numFmtId="0" fontId="12" fillId="0" borderId="93" xfId="0" applyFont="1" applyBorder="1" applyAlignment="1">
      <alignment horizontal="center" vertical="center" wrapText="1"/>
    </xf>
    <xf numFmtId="0" fontId="15" fillId="0" borderId="3" xfId="0" applyFont="1" applyBorder="1" applyAlignment="1">
      <alignment horizontal="center" vertical="center" wrapText="1"/>
    </xf>
    <xf numFmtId="0" fontId="12" fillId="0" borderId="18" xfId="0" applyFont="1" applyBorder="1" applyAlignment="1">
      <alignment horizontal="center" vertical="center" wrapText="1"/>
    </xf>
    <xf numFmtId="0" fontId="70" fillId="65" borderId="67" xfId="0" applyFont="1" applyFill="1" applyBorder="1" applyAlignment="1">
      <alignment horizontal="center" vertical="center" wrapText="1"/>
    </xf>
    <xf numFmtId="3" fontId="12" fillId="0" borderId="121" xfId="0" applyNumberFormat="1" applyFont="1" applyBorder="1" applyAlignment="1">
      <alignment horizontal="center" vertical="center"/>
    </xf>
    <xf numFmtId="3" fontId="0" fillId="67" borderId="134" xfId="0" applyNumberFormat="1" applyFill="1" applyBorder="1" applyAlignment="1">
      <alignment horizontal="center" vertical="center"/>
    </xf>
    <xf numFmtId="3" fontId="12" fillId="67" borderId="67" xfId="0" applyNumberFormat="1" applyFont="1" applyFill="1" applyBorder="1" applyAlignment="1">
      <alignment horizontal="center" vertical="center"/>
    </xf>
    <xf numFmtId="3" fontId="15" fillId="0" borderId="35" xfId="0" applyNumberFormat="1" applyFont="1" applyBorder="1" applyAlignment="1">
      <alignment horizontal="center"/>
    </xf>
    <xf numFmtId="3" fontId="0" fillId="0" borderId="121" xfId="0" applyNumberFormat="1" applyBorder="1" applyAlignment="1">
      <alignment horizontal="center" vertical="center"/>
    </xf>
    <xf numFmtId="0" fontId="70" fillId="64" borderId="9" xfId="0" applyFont="1" applyFill="1" applyBorder="1" applyAlignment="1">
      <alignment horizontal="center" vertical="center" wrapText="1"/>
    </xf>
    <xf numFmtId="0" fontId="70" fillId="64" borderId="10" xfId="0" applyFont="1" applyFill="1" applyBorder="1" applyAlignment="1">
      <alignment horizontal="center" vertical="center" wrapText="1"/>
    </xf>
    <xf numFmtId="3" fontId="12" fillId="0" borderId="71" xfId="0" applyNumberFormat="1" applyFont="1" applyBorder="1" applyAlignment="1">
      <alignment horizontal="center" vertical="center"/>
    </xf>
    <xf numFmtId="3" fontId="12" fillId="0" borderId="74" xfId="0" applyNumberFormat="1" applyFont="1" applyBorder="1" applyAlignment="1">
      <alignment horizontal="center" vertical="center"/>
    </xf>
    <xf numFmtId="3" fontId="0" fillId="0" borderId="75" xfId="0" applyNumberFormat="1" applyBorder="1" applyAlignment="1">
      <alignment horizontal="center" vertical="center"/>
    </xf>
    <xf numFmtId="3" fontId="0" fillId="67" borderId="74" xfId="0" applyNumberFormat="1" applyFill="1" applyBorder="1" applyAlignment="1">
      <alignment horizontal="center" vertical="center"/>
    </xf>
    <xf numFmtId="3" fontId="0" fillId="67" borderId="63" xfId="0" applyNumberFormat="1" applyFill="1" applyBorder="1" applyAlignment="1">
      <alignment horizontal="center" vertical="center"/>
    </xf>
    <xf numFmtId="3" fontId="0" fillId="67" borderId="9" xfId="0" applyNumberFormat="1" applyFill="1" applyBorder="1" applyAlignment="1">
      <alignment horizontal="center" vertical="center"/>
    </xf>
    <xf numFmtId="3" fontId="0" fillId="67" borderId="10" xfId="0" applyNumberFormat="1" applyFill="1" applyBorder="1" applyAlignment="1">
      <alignment horizontal="center" vertical="center"/>
    </xf>
    <xf numFmtId="3" fontId="15" fillId="0" borderId="5" xfId="0" applyNumberFormat="1" applyFont="1" applyBorder="1" applyAlignment="1">
      <alignment horizontal="center"/>
    </xf>
    <xf numFmtId="0" fontId="70" fillId="63" borderId="9" xfId="0" applyFont="1" applyFill="1" applyBorder="1" applyAlignment="1">
      <alignment horizontal="center" vertical="center" wrapText="1"/>
    </xf>
    <xf numFmtId="0" fontId="70" fillId="63" borderId="10" xfId="0" applyFont="1" applyFill="1" applyBorder="1" applyAlignment="1">
      <alignment horizontal="center" vertical="center" wrapText="1"/>
    </xf>
    <xf numFmtId="3" fontId="12" fillId="0" borderId="73" xfId="0" applyNumberFormat="1" applyFont="1" applyBorder="1" applyAlignment="1">
      <alignment horizontal="center" vertical="center"/>
    </xf>
    <xf numFmtId="3" fontId="0" fillId="0" borderId="59" xfId="0" applyNumberFormat="1" applyBorder="1" applyAlignment="1">
      <alignment horizontal="center" vertical="center"/>
    </xf>
    <xf numFmtId="3" fontId="51" fillId="42" borderId="80" xfId="0" applyNumberFormat="1" applyFont="1" applyFill="1" applyBorder="1" applyAlignment="1">
      <alignment horizontal="center" vertical="center"/>
    </xf>
    <xf numFmtId="3" fontId="51" fillId="42" borderId="60" xfId="0" applyNumberFormat="1" applyFont="1" applyFill="1" applyBorder="1" applyAlignment="1">
      <alignment horizontal="center" vertical="center"/>
    </xf>
    <xf numFmtId="3" fontId="51" fillId="42" borderId="78" xfId="0" applyNumberFormat="1" applyFont="1" applyFill="1" applyBorder="1" applyAlignment="1">
      <alignment horizontal="center" vertical="center"/>
    </xf>
    <xf numFmtId="3" fontId="51" fillId="42" borderId="58" xfId="0" applyNumberFormat="1" applyFont="1" applyFill="1" applyBorder="1" applyAlignment="1">
      <alignment horizontal="center" vertical="center"/>
    </xf>
    <xf numFmtId="3" fontId="47" fillId="67" borderId="38" xfId="0" applyNumberFormat="1" applyFont="1" applyFill="1" applyBorder="1" applyAlignment="1">
      <alignment horizontal="center" vertical="center"/>
    </xf>
    <xf numFmtId="3" fontId="47" fillId="67" borderId="89" xfId="0" applyNumberFormat="1" applyFont="1" applyFill="1" applyBorder="1" applyAlignment="1">
      <alignment horizontal="center" vertical="center"/>
    </xf>
    <xf numFmtId="3" fontId="47" fillId="67" borderId="63" xfId="0" applyNumberFormat="1" applyFont="1" applyFill="1" applyBorder="1" applyAlignment="1">
      <alignment horizontal="center" vertical="center"/>
    </xf>
    <xf numFmtId="3" fontId="51" fillId="67" borderId="78" xfId="0" applyNumberFormat="1" applyFont="1" applyFill="1" applyBorder="1" applyAlignment="1">
      <alignment horizontal="center" vertical="center"/>
    </xf>
    <xf numFmtId="3" fontId="51" fillId="67" borderId="60" xfId="0" applyNumberFormat="1" applyFont="1" applyFill="1" applyBorder="1" applyAlignment="1">
      <alignment horizontal="center" vertical="center"/>
    </xf>
    <xf numFmtId="3" fontId="51" fillId="67" borderId="62" xfId="0" applyNumberFormat="1" applyFont="1" applyFill="1" applyBorder="1" applyAlignment="1">
      <alignment horizontal="center" vertical="center"/>
    </xf>
    <xf numFmtId="3" fontId="30" fillId="42" borderId="60" xfId="0" applyNumberFormat="1" applyFont="1" applyFill="1" applyBorder="1" applyAlignment="1">
      <alignment horizontal="center" vertical="center"/>
    </xf>
    <xf numFmtId="10" fontId="30" fillId="42" borderId="60" xfId="0" applyNumberFormat="1" applyFont="1" applyFill="1" applyBorder="1" applyAlignment="1">
      <alignment horizontal="center" vertical="center"/>
    </xf>
    <xf numFmtId="3" fontId="30" fillId="42" borderId="78" xfId="0" applyNumberFormat="1" applyFont="1" applyFill="1" applyBorder="1" applyAlignment="1">
      <alignment horizontal="center" vertical="center"/>
    </xf>
    <xf numFmtId="3" fontId="0" fillId="0" borderId="124" xfId="0" applyNumberFormat="1" applyBorder="1" applyAlignment="1">
      <alignment horizontal="center" vertical="center"/>
    </xf>
    <xf numFmtId="171" fontId="0" fillId="0" borderId="97" xfId="0" applyNumberFormat="1" applyBorder="1" applyAlignment="1">
      <alignment horizontal="center" vertical="center"/>
    </xf>
    <xf numFmtId="3" fontId="0" fillId="0" borderId="97" xfId="0" applyNumberFormat="1" applyBorder="1" applyAlignment="1">
      <alignment horizontal="center" vertical="center"/>
    </xf>
    <xf numFmtId="171" fontId="0" fillId="0" borderId="89" xfId="0" applyNumberFormat="1" applyBorder="1" applyAlignment="1">
      <alignment horizontal="center" vertical="center"/>
    </xf>
    <xf numFmtId="0" fontId="20" fillId="0" borderId="5" xfId="2" applyFill="1" applyBorder="1" applyAlignment="1" applyProtection="1">
      <alignment horizontal="center" vertical="center"/>
    </xf>
    <xf numFmtId="3" fontId="12" fillId="67" borderId="75" xfId="0" applyNumberFormat="1" applyFont="1" applyFill="1" applyBorder="1" applyAlignment="1">
      <alignment horizontal="center" vertical="center"/>
    </xf>
    <xf numFmtId="3" fontId="12" fillId="67" borderId="59" xfId="0" applyNumberFormat="1" applyFont="1" applyFill="1" applyBorder="1" applyAlignment="1">
      <alignment horizontal="center" vertical="center"/>
    </xf>
    <xf numFmtId="0" fontId="12" fillId="4" borderId="96" xfId="0" applyFont="1" applyFill="1" applyBorder="1" applyAlignment="1">
      <alignment horizontal="center" vertical="center"/>
    </xf>
    <xf numFmtId="3" fontId="0" fillId="4" borderId="80" xfId="0" applyNumberFormat="1" applyFill="1" applyBorder="1" applyAlignment="1">
      <alignment horizontal="center" vertical="center"/>
    </xf>
    <xf numFmtId="4" fontId="0" fillId="4" borderId="80" xfId="0" applyNumberFormat="1" applyFill="1" applyBorder="1" applyAlignment="1">
      <alignment horizontal="center" vertical="center"/>
    </xf>
    <xf numFmtId="3" fontId="0" fillId="59" borderId="80" xfId="0" applyNumberFormat="1" applyFill="1" applyBorder="1" applyAlignment="1">
      <alignment horizontal="center" vertical="center"/>
    </xf>
    <xf numFmtId="170" fontId="0" fillId="4" borderId="80" xfId="0" applyNumberFormat="1" applyFill="1" applyBorder="1" applyAlignment="1">
      <alignment horizontal="center" vertical="center"/>
    </xf>
    <xf numFmtId="3" fontId="0" fillId="4" borderId="107" xfId="0" applyNumberFormat="1" applyFill="1" applyBorder="1" applyAlignment="1">
      <alignment horizontal="center" vertical="center"/>
    </xf>
    <xf numFmtId="180" fontId="0" fillId="4" borderId="80" xfId="0" applyNumberFormat="1" applyFill="1" applyBorder="1" applyAlignment="1">
      <alignment horizontal="center" vertical="center"/>
    </xf>
    <xf numFmtId="183" fontId="0" fillId="59" borderId="81" xfId="0" applyNumberFormat="1" applyFill="1" applyBorder="1" applyAlignment="1">
      <alignment horizontal="center" vertical="center"/>
    </xf>
    <xf numFmtId="4" fontId="30" fillId="0" borderId="72" xfId="0" applyNumberFormat="1" applyFont="1" applyBorder="1" applyAlignment="1">
      <alignment horizontal="center" vertical="center"/>
    </xf>
    <xf numFmtId="3" fontId="30" fillId="0" borderId="72" xfId="0" applyNumberFormat="1" applyFont="1" applyBorder="1" applyAlignment="1">
      <alignment horizontal="center" vertical="center"/>
    </xf>
    <xf numFmtId="4" fontId="30" fillId="0" borderId="73" xfId="0" applyNumberFormat="1" applyFont="1" applyBorder="1" applyAlignment="1">
      <alignment horizontal="center" vertical="center"/>
    </xf>
    <xf numFmtId="4" fontId="30" fillId="0" borderId="78" xfId="0" applyNumberFormat="1" applyFont="1" applyBorder="1" applyAlignment="1">
      <alignment horizontal="center" vertical="center"/>
    </xf>
    <xf numFmtId="3" fontId="30" fillId="0" borderId="78" xfId="0" applyNumberFormat="1" applyFont="1" applyBorder="1" applyAlignment="1">
      <alignment horizontal="center" vertical="center"/>
    </xf>
    <xf numFmtId="4" fontId="30" fillId="0" borderId="89" xfId="0" applyNumberFormat="1" applyFont="1" applyBorder="1" applyAlignment="1">
      <alignment horizontal="center" vertical="center"/>
    </xf>
    <xf numFmtId="4" fontId="30" fillId="0" borderId="61" xfId="0" applyNumberFormat="1" applyFont="1" applyBorder="1" applyAlignment="1">
      <alignment horizontal="center" vertical="center"/>
    </xf>
    <xf numFmtId="180" fontId="12" fillId="0" borderId="86" xfId="0" applyNumberFormat="1" applyFont="1" applyBorder="1" applyAlignment="1">
      <alignment horizontal="center" vertical="center"/>
    </xf>
    <xf numFmtId="170" fontId="12" fillId="0" borderId="86" xfId="0" applyNumberFormat="1" applyFont="1" applyBorder="1" applyAlignment="1">
      <alignment horizontal="center" vertical="center"/>
    </xf>
    <xf numFmtId="181" fontId="12" fillId="0" borderId="88" xfId="0" applyNumberFormat="1" applyFont="1" applyBorder="1" applyAlignment="1">
      <alignment horizontal="center" vertical="center"/>
    </xf>
    <xf numFmtId="181" fontId="12" fillId="0" borderId="86" xfId="0" applyNumberFormat="1" applyFont="1" applyBorder="1" applyAlignment="1">
      <alignment horizontal="center" vertical="center"/>
    </xf>
    <xf numFmtId="4" fontId="30" fillId="0" borderId="16" xfId="0" applyNumberFormat="1" applyFont="1" applyBorder="1" applyAlignment="1">
      <alignment horizontal="center" vertical="center"/>
    </xf>
    <xf numFmtId="171" fontId="30" fillId="0" borderId="10" xfId="0" applyNumberFormat="1" applyFont="1" applyBorder="1" applyAlignment="1">
      <alignment horizontal="center" vertical="center"/>
    </xf>
    <xf numFmtId="37" fontId="12" fillId="0" borderId="59" xfId="1" applyNumberFormat="1" applyFont="1" applyFill="1" applyBorder="1" applyAlignment="1">
      <alignment horizontal="center" vertical="center" wrapText="1"/>
    </xf>
    <xf numFmtId="37" fontId="12" fillId="0" borderId="63" xfId="1" applyNumberFormat="1" applyFont="1" applyFill="1" applyBorder="1" applyAlignment="1">
      <alignment horizontal="center" vertical="center" wrapText="1"/>
    </xf>
    <xf numFmtId="0" fontId="12" fillId="67" borderId="114" xfId="0" applyFont="1" applyFill="1" applyBorder="1" applyAlignment="1">
      <alignment horizontal="center" vertical="center" wrapText="1"/>
    </xf>
    <xf numFmtId="0" fontId="12" fillId="0" borderId="71" xfId="0" applyFont="1" applyBorder="1" applyAlignment="1">
      <alignment horizontal="center" wrapText="1"/>
    </xf>
    <xf numFmtId="37" fontId="12" fillId="42" borderId="72" xfId="1" applyNumberFormat="1" applyFont="1" applyFill="1" applyBorder="1" applyAlignment="1">
      <alignment horizontal="center" wrapText="1"/>
    </xf>
    <xf numFmtId="37" fontId="12" fillId="0" borderId="72" xfId="1" applyNumberFormat="1" applyFont="1" applyFill="1" applyBorder="1" applyAlignment="1">
      <alignment horizontal="center" wrapText="1"/>
    </xf>
    <xf numFmtId="37" fontId="12" fillId="0" borderId="73" xfId="1" applyNumberFormat="1" applyFont="1" applyFill="1" applyBorder="1" applyAlignment="1">
      <alignment horizontal="center" wrapText="1"/>
    </xf>
    <xf numFmtId="0" fontId="12" fillId="0" borderId="74" xfId="0" applyFont="1" applyBorder="1" applyAlignment="1">
      <alignment horizontal="center" wrapText="1"/>
    </xf>
    <xf numFmtId="37" fontId="12" fillId="42" borderId="62" xfId="1" applyNumberFormat="1" applyFont="1" applyFill="1" applyBorder="1" applyAlignment="1">
      <alignment horizontal="center" wrapText="1"/>
    </xf>
    <xf numFmtId="37" fontId="12" fillId="0" borderId="62" xfId="1" applyNumberFormat="1" applyFont="1" applyFill="1" applyBorder="1" applyAlignment="1">
      <alignment horizontal="center" wrapText="1"/>
    </xf>
    <xf numFmtId="37" fontId="12" fillId="0" borderId="63" xfId="1" applyNumberFormat="1" applyFont="1" applyFill="1" applyBorder="1" applyAlignment="1">
      <alignment horizontal="center" wrapText="1"/>
    </xf>
    <xf numFmtId="166" fontId="12" fillId="0" borderId="112" xfId="0" applyNumberFormat="1" applyFont="1" applyBorder="1" applyAlignment="1">
      <alignment horizontal="center" vertical="center"/>
    </xf>
    <xf numFmtId="166" fontId="12" fillId="42" borderId="112" xfId="0" applyNumberFormat="1" applyFont="1" applyFill="1" applyBorder="1" applyAlignment="1">
      <alignment horizontal="center" vertical="center"/>
    </xf>
    <xf numFmtId="166" fontId="12" fillId="0" borderId="72" xfId="0" applyNumberFormat="1" applyFont="1" applyBorder="1" applyAlignment="1">
      <alignment horizontal="center" vertical="center"/>
    </xf>
    <xf numFmtId="10" fontId="12" fillId="0" borderId="73" xfId="3" applyNumberFormat="1" applyFont="1" applyFill="1" applyBorder="1" applyAlignment="1">
      <alignment horizontal="center" vertical="center"/>
    </xf>
    <xf numFmtId="10" fontId="12" fillId="0" borderId="61" xfId="3" applyNumberFormat="1" applyFont="1" applyFill="1" applyBorder="1" applyAlignment="1">
      <alignment horizontal="center" vertical="center"/>
    </xf>
    <xf numFmtId="0" fontId="12" fillId="4" borderId="86" xfId="0" applyFont="1" applyFill="1" applyBorder="1" applyAlignment="1">
      <alignment horizontal="center" vertical="center"/>
    </xf>
    <xf numFmtId="166" fontId="12" fillId="0" borderId="86" xfId="0" applyNumberFormat="1" applyFont="1" applyBorder="1" applyAlignment="1">
      <alignment horizontal="center" vertical="center"/>
    </xf>
    <xf numFmtId="10" fontId="12" fillId="0" borderId="88" xfId="3" applyNumberFormat="1" applyFont="1" applyFill="1" applyBorder="1" applyAlignment="1">
      <alignment horizontal="center" vertical="center"/>
    </xf>
    <xf numFmtId="0" fontId="12" fillId="67" borderId="72" xfId="0" applyFont="1" applyFill="1" applyBorder="1" applyAlignment="1">
      <alignment horizontal="center" vertical="center"/>
    </xf>
    <xf numFmtId="0" fontId="12" fillId="67" borderId="60" xfId="0" applyFont="1" applyFill="1" applyBorder="1" applyAlignment="1">
      <alignment horizontal="center" vertical="center"/>
    </xf>
    <xf numFmtId="0" fontId="12" fillId="67" borderId="86" xfId="0" applyFont="1" applyFill="1" applyBorder="1" applyAlignment="1">
      <alignment horizontal="center" vertical="center"/>
    </xf>
    <xf numFmtId="3" fontId="0" fillId="36" borderId="5" xfId="0" applyNumberFormat="1" applyFill="1" applyBorder="1" applyAlignment="1">
      <alignment horizontal="center" vertical="center"/>
    </xf>
    <xf numFmtId="168" fontId="12" fillId="0" borderId="62" xfId="0" applyNumberFormat="1" applyFont="1" applyBorder="1" applyAlignment="1">
      <alignment horizontal="center" vertical="center" wrapText="1"/>
    </xf>
    <xf numFmtId="3" fontId="12" fillId="4" borderId="61" xfId="0" applyNumberFormat="1" applyFont="1" applyFill="1" applyBorder="1" applyAlignment="1">
      <alignment horizontal="center" vertical="center" wrapText="1"/>
    </xf>
    <xf numFmtId="0" fontId="30" fillId="42" borderId="72" xfId="110" applyFont="1" applyFill="1" applyBorder="1" applyAlignment="1">
      <alignment horizontal="center" vertical="center" wrapText="1"/>
    </xf>
    <xf numFmtId="0" fontId="30" fillId="42" borderId="60" xfId="110" applyFont="1" applyFill="1" applyBorder="1" applyAlignment="1">
      <alignment horizontal="center" vertical="center" wrapText="1"/>
    </xf>
    <xf numFmtId="0" fontId="30" fillId="42" borderId="62" xfId="110" applyFont="1" applyFill="1" applyBorder="1" applyAlignment="1">
      <alignment horizontal="center" vertical="center" wrapText="1"/>
    </xf>
    <xf numFmtId="166" fontId="30" fillId="42" borderId="72" xfId="110" applyNumberFormat="1" applyFont="1" applyFill="1" applyBorder="1" applyAlignment="1">
      <alignment horizontal="center" vertical="center" wrapText="1"/>
    </xf>
    <xf numFmtId="166" fontId="30" fillId="42" borderId="60" xfId="0" applyNumberFormat="1" applyFont="1" applyFill="1" applyBorder="1" applyAlignment="1">
      <alignment horizontal="center" vertical="center"/>
    </xf>
    <xf numFmtId="9" fontId="30" fillId="42" borderId="62" xfId="0" applyNumberFormat="1" applyFont="1" applyFill="1" applyBorder="1" applyAlignment="1">
      <alignment horizontal="center" vertical="center"/>
    </xf>
    <xf numFmtId="0" fontId="70" fillId="61" borderId="109" xfId="110" applyFont="1" applyFill="1" applyBorder="1" applyAlignment="1">
      <alignment horizontal="center" vertical="center" wrapText="1"/>
    </xf>
    <xf numFmtId="182" fontId="30" fillId="0" borderId="122" xfId="110" applyNumberFormat="1" applyFont="1" applyBorder="1" applyAlignment="1">
      <alignment horizontal="center" vertical="center" wrapText="1"/>
    </xf>
    <xf numFmtId="182" fontId="30" fillId="0" borderId="121" xfId="110" applyNumberFormat="1" applyFont="1" applyBorder="1" applyAlignment="1">
      <alignment horizontal="center" vertical="center" wrapText="1"/>
    </xf>
    <xf numFmtId="182" fontId="30" fillId="0" borderId="132" xfId="110" applyNumberFormat="1" applyFont="1" applyBorder="1" applyAlignment="1">
      <alignment horizontal="center" vertical="center" wrapText="1"/>
    </xf>
    <xf numFmtId="9" fontId="30" fillId="42" borderId="92" xfId="110" applyNumberFormat="1" applyFont="1" applyFill="1" applyBorder="1" applyAlignment="1">
      <alignment horizontal="center" vertical="center" wrapText="1"/>
    </xf>
    <xf numFmtId="9" fontId="30" fillId="42" borderId="73" xfId="110" applyNumberFormat="1" applyFont="1" applyFill="1" applyBorder="1" applyAlignment="1">
      <alignment horizontal="center" vertical="center" wrapText="1"/>
    </xf>
    <xf numFmtId="9" fontId="30" fillId="42" borderId="93" xfId="110" applyNumberFormat="1" applyFont="1" applyFill="1" applyBorder="1" applyAlignment="1">
      <alignment horizontal="center" vertical="center" wrapText="1"/>
    </xf>
    <xf numFmtId="9" fontId="30" fillId="42" borderId="61" xfId="110" applyNumberFormat="1" applyFont="1" applyFill="1" applyBorder="1" applyAlignment="1">
      <alignment horizontal="center" vertical="center" wrapText="1"/>
    </xf>
    <xf numFmtId="9" fontId="30" fillId="42" borderId="106" xfId="110" applyNumberFormat="1" applyFont="1" applyFill="1" applyBorder="1" applyAlignment="1">
      <alignment horizontal="center" vertical="center" wrapText="1"/>
    </xf>
    <xf numFmtId="9" fontId="30" fillId="42" borderId="63" xfId="110" applyNumberFormat="1" applyFont="1" applyFill="1" applyBorder="1" applyAlignment="1">
      <alignment horizontal="center" vertical="center" wrapText="1"/>
    </xf>
    <xf numFmtId="169" fontId="30" fillId="0" borderId="121" xfId="110" applyNumberFormat="1" applyFont="1" applyBorder="1" applyAlignment="1">
      <alignment horizontal="center" vertical="center"/>
    </xf>
    <xf numFmtId="0" fontId="30" fillId="67" borderId="121" xfId="110" applyFont="1" applyFill="1" applyBorder="1" applyAlignment="1">
      <alignment horizontal="center" vertical="center"/>
    </xf>
    <xf numFmtId="0" fontId="30" fillId="67" borderId="123" xfId="110" applyFont="1" applyFill="1" applyBorder="1" applyAlignment="1">
      <alignment horizontal="center" vertical="center"/>
    </xf>
    <xf numFmtId="171" fontId="12" fillId="0" borderId="112" xfId="0" applyNumberFormat="1" applyFont="1" applyBorder="1" applyAlignment="1">
      <alignment horizontal="center" vertical="center"/>
    </xf>
    <xf numFmtId="170" fontId="12" fillId="0" borderId="112" xfId="0" applyNumberFormat="1" applyFont="1" applyBorder="1" applyAlignment="1">
      <alignment horizontal="center" vertical="center"/>
    </xf>
    <xf numFmtId="0" fontId="50" fillId="67" borderId="112" xfId="0" applyFont="1" applyFill="1" applyBorder="1" applyAlignment="1">
      <alignment horizontal="center" vertical="center" wrapText="1"/>
    </xf>
    <xf numFmtId="0" fontId="51" fillId="67" borderId="112" xfId="0" applyFont="1" applyFill="1" applyBorder="1" applyAlignment="1">
      <alignment horizontal="center" vertical="center" wrapText="1"/>
    </xf>
    <xf numFmtId="0" fontId="50" fillId="67" borderId="114" xfId="0" applyFont="1" applyFill="1" applyBorder="1" applyAlignment="1">
      <alignment horizontal="center" vertical="center"/>
    </xf>
    <xf numFmtId="0" fontId="51" fillId="67" borderId="114" xfId="0" applyFont="1" applyFill="1" applyBorder="1" applyAlignment="1">
      <alignment horizontal="center" vertical="center"/>
    </xf>
    <xf numFmtId="0" fontId="51" fillId="67" borderId="63" xfId="0" applyFont="1" applyFill="1" applyBorder="1" applyAlignment="1">
      <alignment horizontal="center" vertical="center"/>
    </xf>
    <xf numFmtId="0" fontId="30" fillId="0" borderId="11" xfId="0" applyFont="1" applyBorder="1" applyAlignment="1">
      <alignment horizontal="center" vertical="center" wrapText="1"/>
    </xf>
    <xf numFmtId="0" fontId="30" fillId="0" borderId="9" xfId="0" applyFont="1" applyBorder="1" applyAlignment="1">
      <alignment horizontal="center" vertical="center"/>
    </xf>
    <xf numFmtId="3" fontId="30" fillId="42" borderId="16" xfId="0" applyNumberFormat="1" applyFont="1" applyFill="1" applyBorder="1" applyAlignment="1">
      <alignment horizontal="center" vertical="center"/>
    </xf>
    <xf numFmtId="166" fontId="30" fillId="0" borderId="10" xfId="0" applyNumberFormat="1" applyFont="1" applyBorder="1" applyAlignment="1">
      <alignment horizontal="center" vertical="center"/>
    </xf>
    <xf numFmtId="3" fontId="30" fillId="0" borderId="112" xfId="0" applyNumberFormat="1" applyFont="1" applyBorder="1" applyAlignment="1">
      <alignment horizontal="center" vertical="center"/>
    </xf>
    <xf numFmtId="3" fontId="30" fillId="42" borderId="112" xfId="0" applyNumberFormat="1" applyFont="1" applyFill="1" applyBorder="1" applyAlignment="1">
      <alignment horizontal="center" vertical="center"/>
    </xf>
    <xf numFmtId="166" fontId="30" fillId="0" borderId="114" xfId="0" applyNumberFormat="1" applyFont="1" applyBorder="1" applyAlignment="1">
      <alignment horizontal="center" vertical="center"/>
    </xf>
    <xf numFmtId="4" fontId="30" fillId="0" borderId="112" xfId="0" applyNumberFormat="1" applyFont="1" applyBorder="1" applyAlignment="1">
      <alignment horizontal="center" vertical="center"/>
    </xf>
    <xf numFmtId="171" fontId="30" fillId="0" borderId="114" xfId="0" applyNumberFormat="1" applyFont="1" applyBorder="1" applyAlignment="1">
      <alignment horizontal="center" vertical="center"/>
    </xf>
    <xf numFmtId="0" fontId="12" fillId="0" borderId="71" xfId="0" applyFont="1" applyBorder="1" applyAlignment="1">
      <alignment horizontal="center"/>
    </xf>
    <xf numFmtId="0" fontId="30" fillId="0" borderId="71" xfId="0" applyFont="1" applyBorder="1" applyAlignment="1">
      <alignment horizontal="center" vertical="center"/>
    </xf>
    <xf numFmtId="0" fontId="30" fillId="0" borderId="85" xfId="0" applyFont="1" applyBorder="1" applyAlignment="1">
      <alignment horizontal="center" vertical="center"/>
    </xf>
    <xf numFmtId="166" fontId="0" fillId="4" borderId="0" xfId="0" applyNumberFormat="1" applyFill="1"/>
    <xf numFmtId="0" fontId="30" fillId="0" borderId="75" xfId="0" applyFont="1" applyBorder="1" applyAlignment="1">
      <alignment horizontal="center" vertical="center"/>
    </xf>
    <xf numFmtId="3" fontId="30" fillId="42" borderId="134" xfId="0" applyNumberFormat="1" applyFont="1" applyFill="1" applyBorder="1" applyAlignment="1">
      <alignment horizontal="center" vertical="center"/>
    </xf>
    <xf numFmtId="166" fontId="30" fillId="0" borderId="59" xfId="0" applyNumberFormat="1" applyFont="1" applyBorder="1" applyAlignment="1">
      <alignment horizontal="center" vertical="center"/>
    </xf>
    <xf numFmtId="0" fontId="30" fillId="59" borderId="75" xfId="0" applyFont="1" applyFill="1" applyBorder="1" applyAlignment="1">
      <alignment horizontal="center" vertical="center"/>
    </xf>
    <xf numFmtId="0" fontId="30" fillId="59" borderId="58" xfId="0" applyFont="1" applyFill="1" applyBorder="1" applyAlignment="1">
      <alignment horizontal="center" vertical="center"/>
    </xf>
    <xf numFmtId="0" fontId="30" fillId="59" borderId="59" xfId="0" applyFont="1" applyFill="1" applyBorder="1" applyAlignment="1">
      <alignment horizontal="center" vertical="center"/>
    </xf>
    <xf numFmtId="3" fontId="30" fillId="0" borderId="58" xfId="0" applyNumberFormat="1" applyFont="1" applyBorder="1" applyAlignment="1">
      <alignment horizontal="center" vertical="center"/>
    </xf>
    <xf numFmtId="180" fontId="12" fillId="0" borderId="58" xfId="0" applyNumberFormat="1" applyFont="1" applyBorder="1" applyAlignment="1">
      <alignment horizontal="center" vertical="center"/>
    </xf>
    <xf numFmtId="170" fontId="12" fillId="0" borderId="58" xfId="0" applyNumberFormat="1" applyFont="1" applyBorder="1" applyAlignment="1">
      <alignment horizontal="center" vertical="center"/>
    </xf>
    <xf numFmtId="181" fontId="12" fillId="0" borderId="59" xfId="0" applyNumberFormat="1" applyFont="1" applyBorder="1" applyAlignment="1">
      <alignment horizontal="center" vertical="center"/>
    </xf>
    <xf numFmtId="3" fontId="30" fillId="42" borderId="121" xfId="0" applyNumberFormat="1" applyFont="1" applyFill="1" applyBorder="1" applyAlignment="1">
      <alignment horizontal="center" vertical="center"/>
    </xf>
    <xf numFmtId="166" fontId="30" fillId="0" borderId="61" xfId="0" applyNumberFormat="1" applyFont="1" applyBorder="1" applyAlignment="1">
      <alignment horizontal="center" vertical="center"/>
    </xf>
    <xf numFmtId="2" fontId="30" fillId="59" borderId="76" xfId="0" applyNumberFormat="1" applyFont="1" applyFill="1" applyBorder="1" applyAlignment="1">
      <alignment horizontal="center" vertical="center"/>
    </xf>
    <xf numFmtId="2" fontId="30" fillId="59" borderId="60" xfId="0" applyNumberFormat="1" applyFont="1" applyFill="1" applyBorder="1" applyAlignment="1">
      <alignment horizontal="center" vertical="center"/>
    </xf>
    <xf numFmtId="2" fontId="30" fillId="59" borderId="84" xfId="0" applyNumberFormat="1" applyFont="1" applyFill="1" applyBorder="1" applyAlignment="1">
      <alignment horizontal="center" vertical="center"/>
    </xf>
    <xf numFmtId="2" fontId="30" fillId="59" borderId="61" xfId="0" applyNumberFormat="1" applyFont="1" applyFill="1" applyBorder="1" applyAlignment="1">
      <alignment horizontal="center" vertical="center"/>
    </xf>
    <xf numFmtId="0" fontId="30" fillId="59" borderId="76" xfId="0" applyFont="1" applyFill="1" applyBorder="1" applyAlignment="1">
      <alignment horizontal="center" vertical="center"/>
    </xf>
    <xf numFmtId="0" fontId="30" fillId="59" borderId="60" xfId="0" applyFont="1" applyFill="1" applyBorder="1" applyAlignment="1">
      <alignment horizontal="center" vertical="center"/>
    </xf>
    <xf numFmtId="0" fontId="30" fillId="59" borderId="61" xfId="0" applyFont="1" applyFill="1" applyBorder="1" applyAlignment="1">
      <alignment horizontal="center" vertical="center"/>
    </xf>
    <xf numFmtId="180" fontId="12" fillId="0" borderId="60" xfId="0" applyNumberFormat="1" applyFont="1" applyBorder="1" applyAlignment="1">
      <alignment horizontal="center" vertical="center"/>
    </xf>
    <xf numFmtId="181" fontId="12" fillId="0" borderId="61" xfId="0" applyNumberFormat="1" applyFont="1" applyBorder="1" applyAlignment="1">
      <alignment horizontal="center" vertical="center"/>
    </xf>
    <xf numFmtId="3" fontId="30" fillId="42" borderId="123" xfId="0" applyNumberFormat="1" applyFont="1" applyFill="1" applyBorder="1" applyAlignment="1">
      <alignment horizontal="center" vertical="center"/>
    </xf>
    <xf numFmtId="166" fontId="30" fillId="0" borderId="88" xfId="0" applyNumberFormat="1" applyFont="1" applyBorder="1" applyAlignment="1">
      <alignment horizontal="center" vertical="center"/>
    </xf>
    <xf numFmtId="3" fontId="30" fillId="0" borderId="87" xfId="0" applyNumberFormat="1" applyFont="1" applyBorder="1" applyAlignment="1">
      <alignment horizontal="center" vertical="center"/>
    </xf>
    <xf numFmtId="3" fontId="30" fillId="0" borderId="88" xfId="0" applyNumberFormat="1" applyFont="1" applyBorder="1" applyAlignment="1">
      <alignment horizontal="center" vertical="center"/>
    </xf>
    <xf numFmtId="0" fontId="30" fillId="59" borderId="85" xfId="0" applyFont="1" applyFill="1" applyBorder="1" applyAlignment="1">
      <alignment horizontal="center" vertical="center"/>
    </xf>
    <xf numFmtId="0" fontId="30" fillId="59" borderId="86" xfId="0" applyFont="1" applyFill="1" applyBorder="1" applyAlignment="1">
      <alignment horizontal="center" vertical="center"/>
    </xf>
    <xf numFmtId="0" fontId="30" fillId="59" borderId="88" xfId="0" applyFont="1" applyFill="1" applyBorder="1" applyAlignment="1">
      <alignment horizontal="center" vertical="center"/>
    </xf>
    <xf numFmtId="2" fontId="30" fillId="0" borderId="60" xfId="0" applyNumberFormat="1" applyFont="1" applyBorder="1" applyAlignment="1">
      <alignment horizontal="center" vertical="center"/>
    </xf>
    <xf numFmtId="3" fontId="30" fillId="0" borderId="84" xfId="0" applyNumberFormat="1" applyFont="1" applyBorder="1" applyAlignment="1">
      <alignment horizontal="center" vertical="center"/>
    </xf>
    <xf numFmtId="4" fontId="30" fillId="0" borderId="87" xfId="0" applyNumberFormat="1" applyFont="1" applyBorder="1" applyAlignment="1">
      <alignment horizontal="center" vertical="center"/>
    </xf>
    <xf numFmtId="4" fontId="30" fillId="0" borderId="84" xfId="0" applyNumberFormat="1" applyFont="1" applyBorder="1" applyAlignment="1">
      <alignment horizontal="center" vertical="center"/>
    </xf>
    <xf numFmtId="3" fontId="0" fillId="59" borderId="72" xfId="0" applyNumberFormat="1" applyFill="1" applyBorder="1" applyAlignment="1">
      <alignment horizontal="center" vertical="center"/>
    </xf>
    <xf numFmtId="170" fontId="12" fillId="0" borderId="62" xfId="0" applyNumberFormat="1" applyFont="1" applyBorder="1" applyAlignment="1">
      <alignment horizontal="center" vertical="center"/>
    </xf>
    <xf numFmtId="3" fontId="12" fillId="0" borderId="107" xfId="0" applyNumberFormat="1" applyFont="1" applyBorder="1" applyAlignment="1">
      <alignment horizontal="center" vertical="center"/>
    </xf>
    <xf numFmtId="37" fontId="0" fillId="0" borderId="84" xfId="0" applyNumberFormat="1" applyBorder="1" applyAlignment="1">
      <alignment horizontal="center" vertical="center"/>
    </xf>
    <xf numFmtId="10" fontId="15" fillId="0" borderId="17" xfId="0" applyNumberFormat="1" applyFont="1" applyBorder="1" applyAlignment="1">
      <alignment horizontal="center" vertical="center"/>
    </xf>
    <xf numFmtId="170" fontId="47" fillId="0" borderId="17" xfId="0" applyNumberFormat="1" applyFont="1" applyBorder="1" applyAlignment="1">
      <alignment horizontal="center" vertical="center" wrapText="1"/>
    </xf>
    <xf numFmtId="170" fontId="47" fillId="0" borderId="5" xfId="0" applyNumberFormat="1" applyFont="1" applyBorder="1" applyAlignment="1">
      <alignment horizontal="center" vertical="center" wrapText="1"/>
    </xf>
    <xf numFmtId="0" fontId="12" fillId="0" borderId="76" xfId="0" applyFont="1" applyBorder="1" applyAlignment="1">
      <alignment horizontal="center"/>
    </xf>
    <xf numFmtId="3" fontId="30" fillId="0" borderId="86" xfId="0" applyNumberFormat="1" applyFont="1" applyBorder="1" applyAlignment="1">
      <alignment horizontal="center" vertical="center" wrapText="1"/>
    </xf>
    <xf numFmtId="10" fontId="12" fillId="0" borderId="86" xfId="0" applyNumberFormat="1" applyFont="1" applyBorder="1" applyAlignment="1">
      <alignment horizontal="center" vertical="center"/>
    </xf>
    <xf numFmtId="4" fontId="12" fillId="0" borderId="88" xfId="0" applyNumberFormat="1" applyFont="1" applyBorder="1" applyAlignment="1">
      <alignment horizontal="center" vertical="center"/>
    </xf>
    <xf numFmtId="0" fontId="12" fillId="0" borderId="0" xfId="19"/>
    <xf numFmtId="0" fontId="12" fillId="4" borderId="0" xfId="19" applyFill="1"/>
    <xf numFmtId="0" fontId="12" fillId="0" borderId="78" xfId="19" applyBorder="1" applyAlignment="1">
      <alignment horizontal="center" vertical="center"/>
    </xf>
    <xf numFmtId="0" fontId="12" fillId="0" borderId="77" xfId="19" applyBorder="1" applyAlignment="1">
      <alignment horizontal="center" vertical="center"/>
    </xf>
    <xf numFmtId="0" fontId="12" fillId="0" borderId="60" xfId="19" applyBorder="1" applyAlignment="1">
      <alignment horizontal="center" vertical="center"/>
    </xf>
    <xf numFmtId="0" fontId="12" fillId="0" borderId="76" xfId="19" applyBorder="1" applyAlignment="1">
      <alignment horizontal="center" vertical="center"/>
    </xf>
    <xf numFmtId="0" fontId="12" fillId="0" borderId="72" xfId="19" applyBorder="1" applyAlignment="1">
      <alignment horizontal="center" vertical="center"/>
    </xf>
    <xf numFmtId="0" fontId="12" fillId="0" borderId="71" xfId="19" applyBorder="1" applyAlignment="1">
      <alignment horizontal="center" vertical="center"/>
    </xf>
    <xf numFmtId="0" fontId="15" fillId="4" borderId="10" xfId="19" applyFont="1" applyFill="1" applyBorder="1" applyAlignment="1">
      <alignment horizontal="center" vertical="center" wrapText="1"/>
    </xf>
    <xf numFmtId="0" fontId="15" fillId="4" borderId="16" xfId="19" applyFont="1" applyFill="1" applyBorder="1" applyAlignment="1">
      <alignment horizontal="center" vertical="center" wrapText="1"/>
    </xf>
    <xf numFmtId="0" fontId="15" fillId="4" borderId="9" xfId="19" applyFont="1" applyFill="1" applyBorder="1" applyAlignment="1">
      <alignment horizontal="center" vertical="center" wrapText="1"/>
    </xf>
    <xf numFmtId="3" fontId="12" fillId="4" borderId="0" xfId="19" applyNumberFormat="1" applyFill="1"/>
    <xf numFmtId="0" fontId="70" fillId="61" borderId="10" xfId="19" applyFont="1" applyFill="1" applyBorder="1" applyAlignment="1">
      <alignment horizontal="center" vertical="center" wrapText="1"/>
    </xf>
    <xf numFmtId="0" fontId="70" fillId="61" borderId="9" xfId="19" applyFont="1" applyFill="1" applyBorder="1" applyAlignment="1">
      <alignment horizontal="center" vertical="center"/>
    </xf>
    <xf numFmtId="0" fontId="15" fillId="4" borderId="11" xfId="19" applyFont="1" applyFill="1" applyBorder="1" applyAlignment="1">
      <alignment horizontal="left" vertical="top" wrapText="1"/>
    </xf>
    <xf numFmtId="0" fontId="15" fillId="4" borderId="9" xfId="19" applyFont="1" applyFill="1" applyBorder="1" applyAlignment="1">
      <alignment horizontal="left" vertical="top" wrapText="1"/>
    </xf>
    <xf numFmtId="0" fontId="16" fillId="4" borderId="0" xfId="19" applyFont="1" applyFill="1"/>
    <xf numFmtId="0" fontId="12" fillId="36" borderId="5" xfId="0" applyFont="1" applyFill="1" applyBorder="1" applyAlignment="1">
      <alignment horizontal="center" vertical="center"/>
    </xf>
    <xf numFmtId="49" fontId="12" fillId="0" borderId="72" xfId="19" applyNumberFormat="1" applyBorder="1" applyAlignment="1">
      <alignment horizontal="center" vertical="center"/>
    </xf>
    <xf numFmtId="49" fontId="12" fillId="0" borderId="60" xfId="19" applyNumberFormat="1" applyBorder="1" applyAlignment="1">
      <alignment horizontal="center" vertical="center"/>
    </xf>
    <xf numFmtId="49" fontId="12" fillId="0" borderId="78" xfId="19" applyNumberFormat="1" applyBorder="1" applyAlignment="1">
      <alignment horizontal="center" vertical="center"/>
    </xf>
    <xf numFmtId="49" fontId="12" fillId="42" borderId="11" xfId="19" applyNumberFormat="1" applyFill="1" applyBorder="1" applyAlignment="1">
      <alignment horizontal="center" vertical="center" wrapText="1"/>
    </xf>
    <xf numFmtId="168" fontId="12" fillId="0" borderId="60" xfId="0" applyNumberFormat="1" applyFont="1" applyBorder="1" applyAlignment="1">
      <alignment horizontal="center" vertical="center"/>
    </xf>
    <xf numFmtId="37" fontId="30" fillId="0" borderId="60" xfId="1" applyNumberFormat="1" applyFont="1" applyFill="1" applyBorder="1" applyAlignment="1">
      <alignment horizontal="center" vertical="center"/>
    </xf>
    <xf numFmtId="37" fontId="30" fillId="0" borderId="78" xfId="1" applyNumberFormat="1" applyFont="1" applyFill="1" applyBorder="1" applyAlignment="1">
      <alignment horizontal="center" vertical="center"/>
    </xf>
    <xf numFmtId="37" fontId="30" fillId="0" borderId="114" xfId="0" applyNumberFormat="1" applyFont="1" applyBorder="1" applyAlignment="1">
      <alignment horizontal="center" vertical="center"/>
    </xf>
    <xf numFmtId="3" fontId="30" fillId="0" borderId="60" xfId="1" applyNumberFormat="1" applyFont="1" applyFill="1" applyBorder="1" applyAlignment="1">
      <alignment horizontal="center" vertical="center"/>
    </xf>
    <xf numFmtId="3" fontId="30" fillId="0" borderId="86" xfId="1" applyNumberFormat="1" applyFont="1" applyFill="1" applyBorder="1" applyAlignment="1">
      <alignment horizontal="center" vertical="center"/>
    </xf>
    <xf numFmtId="10" fontId="30" fillId="0" borderId="60" xfId="0" applyNumberFormat="1" applyFont="1" applyBorder="1" applyAlignment="1">
      <alignment horizontal="center" vertical="center"/>
    </xf>
    <xf numFmtId="10" fontId="30" fillId="0" borderId="86" xfId="0" applyNumberFormat="1" applyFont="1" applyBorder="1" applyAlignment="1">
      <alignment horizontal="center" vertical="center"/>
    </xf>
    <xf numFmtId="166" fontId="0" fillId="0" borderId="80" xfId="3" applyNumberFormat="1" applyFont="1" applyFill="1" applyBorder="1" applyAlignment="1">
      <alignment horizontal="center" vertical="center"/>
    </xf>
    <xf numFmtId="166" fontId="0" fillId="0" borderId="60" xfId="3" applyNumberFormat="1" applyFont="1" applyFill="1" applyBorder="1" applyAlignment="1">
      <alignment horizontal="center" vertical="center"/>
    </xf>
    <xf numFmtId="9" fontId="0" fillId="0" borderId="80" xfId="3" applyFont="1" applyFill="1" applyBorder="1" applyAlignment="1">
      <alignment horizontal="center" vertical="center"/>
    </xf>
    <xf numFmtId="9" fontId="0" fillId="0" borderId="78" xfId="3" applyFont="1" applyFill="1" applyBorder="1" applyAlignment="1">
      <alignment horizontal="center" vertical="center"/>
    </xf>
    <xf numFmtId="3" fontId="12" fillId="0" borderId="11" xfId="0" applyNumberFormat="1" applyFont="1" applyBorder="1" applyAlignment="1">
      <alignment horizontal="center" vertical="center"/>
    </xf>
    <xf numFmtId="3" fontId="12" fillId="0" borderId="73" xfId="19" applyNumberFormat="1" applyBorder="1" applyAlignment="1">
      <alignment horizontal="center" vertical="center"/>
    </xf>
    <xf numFmtId="3" fontId="12" fillId="0" borderId="61" xfId="19" applyNumberFormat="1" applyBorder="1" applyAlignment="1">
      <alignment horizontal="center" vertical="center"/>
    </xf>
    <xf numFmtId="3" fontId="12" fillId="0" borderId="89" xfId="19" applyNumberFormat="1" applyBorder="1" applyAlignment="1">
      <alignment horizontal="center" vertical="center"/>
    </xf>
    <xf numFmtId="2" fontId="30" fillId="67" borderId="9" xfId="0" applyNumberFormat="1" applyFont="1" applyFill="1" applyBorder="1" applyAlignment="1">
      <alignment horizontal="center" vertical="center"/>
    </xf>
    <xf numFmtId="2" fontId="30" fillId="67" borderId="16" xfId="0" applyNumberFormat="1" applyFont="1" applyFill="1" applyBorder="1" applyAlignment="1">
      <alignment horizontal="center" vertical="center"/>
    </xf>
    <xf numFmtId="2" fontId="30" fillId="67" borderId="34" xfId="0" applyNumberFormat="1" applyFont="1" applyFill="1" applyBorder="1" applyAlignment="1">
      <alignment horizontal="center" vertical="center"/>
    </xf>
    <xf numFmtId="2" fontId="30" fillId="67" borderId="113" xfId="0" applyNumberFormat="1" applyFont="1" applyFill="1" applyBorder="1" applyAlignment="1">
      <alignment horizontal="center" vertical="center"/>
    </xf>
    <xf numFmtId="2" fontId="30" fillId="67" borderId="112" xfId="0" applyNumberFormat="1" applyFont="1" applyFill="1" applyBorder="1" applyAlignment="1">
      <alignment horizontal="center" vertical="center"/>
    </xf>
    <xf numFmtId="2" fontId="30" fillId="67" borderId="115" xfId="0" applyNumberFormat="1" applyFont="1" applyFill="1" applyBorder="1" applyAlignment="1">
      <alignment horizontal="center" vertical="center"/>
    </xf>
    <xf numFmtId="0" fontId="30" fillId="67" borderId="11" xfId="0" applyFont="1" applyFill="1" applyBorder="1" applyAlignment="1">
      <alignment horizontal="center" vertical="center"/>
    </xf>
    <xf numFmtId="3" fontId="30" fillId="69" borderId="16" xfId="0" applyNumberFormat="1" applyFont="1" applyFill="1" applyBorder="1" applyAlignment="1">
      <alignment horizontal="center" vertical="center"/>
    </xf>
    <xf numFmtId="3" fontId="30" fillId="69" borderId="112" xfId="0" applyNumberFormat="1" applyFont="1" applyFill="1" applyBorder="1" applyAlignment="1">
      <alignment horizontal="center" vertical="center"/>
    </xf>
    <xf numFmtId="3" fontId="30" fillId="69" borderId="11" xfId="0" applyNumberFormat="1" applyFont="1" applyFill="1" applyBorder="1" applyAlignment="1">
      <alignment horizontal="center" vertical="center"/>
    </xf>
    <xf numFmtId="3" fontId="30" fillId="69" borderId="9" xfId="0" applyNumberFormat="1" applyFont="1" applyFill="1" applyBorder="1" applyAlignment="1">
      <alignment horizontal="center" vertical="center"/>
    </xf>
    <xf numFmtId="3" fontId="30" fillId="69" borderId="113" xfId="0" applyNumberFormat="1" applyFont="1" applyFill="1" applyBorder="1" applyAlignment="1">
      <alignment horizontal="center" vertical="center"/>
    </xf>
    <xf numFmtId="3" fontId="30" fillId="69" borderId="134" xfId="0" applyNumberFormat="1" applyFont="1" applyFill="1" applyBorder="1" applyAlignment="1">
      <alignment horizontal="center" vertical="center"/>
    </xf>
    <xf numFmtId="3" fontId="30" fillId="69" borderId="121" xfId="0" applyNumberFormat="1" applyFont="1" applyFill="1" applyBorder="1" applyAlignment="1">
      <alignment horizontal="center" vertical="center"/>
    </xf>
    <xf numFmtId="3" fontId="30" fillId="69" borderId="123" xfId="0" applyNumberFormat="1" applyFont="1" applyFill="1" applyBorder="1" applyAlignment="1">
      <alignment horizontal="center" vertical="center"/>
    </xf>
    <xf numFmtId="3" fontId="30" fillId="69" borderId="85" xfId="0" applyNumberFormat="1" applyFont="1" applyFill="1" applyBorder="1" applyAlignment="1">
      <alignment horizontal="center" vertical="center"/>
    </xf>
    <xf numFmtId="3" fontId="30" fillId="69" borderId="76" xfId="0" applyNumberFormat="1" applyFont="1" applyFill="1" applyBorder="1" applyAlignment="1">
      <alignment horizontal="center" vertical="center"/>
    </xf>
    <xf numFmtId="3" fontId="30" fillId="69" borderId="75" xfId="0" applyNumberFormat="1" applyFont="1" applyFill="1" applyBorder="1" applyAlignment="1">
      <alignment horizontal="center" vertical="center"/>
    </xf>
    <xf numFmtId="0" fontId="12" fillId="0" borderId="83" xfId="0" applyFont="1" applyBorder="1" applyAlignment="1">
      <alignment horizontal="center" vertical="center" wrapText="1"/>
    </xf>
    <xf numFmtId="0" fontId="30" fillId="0" borderId="112" xfId="0" applyFont="1" applyBorder="1" applyAlignment="1">
      <alignment horizontal="center" vertical="center"/>
    </xf>
    <xf numFmtId="166" fontId="30" fillId="0" borderId="10" xfId="10" applyNumberFormat="1" applyFont="1" applyBorder="1" applyAlignment="1">
      <alignment horizontal="center" vertical="center"/>
    </xf>
    <xf numFmtId="166" fontId="30" fillId="0" borderId="61" xfId="10" applyNumberFormat="1" applyFont="1" applyBorder="1" applyAlignment="1">
      <alignment horizontal="center" vertical="center"/>
    </xf>
    <xf numFmtId="0" fontId="12" fillId="0" borderId="11" xfId="0" applyFont="1" applyBorder="1" applyAlignment="1">
      <alignment horizontal="center" vertical="center"/>
    </xf>
    <xf numFmtId="176" fontId="30" fillId="0" borderId="122" xfId="110" applyNumberFormat="1" applyFont="1" applyBorder="1" applyAlignment="1">
      <alignment horizontal="center" vertical="center"/>
    </xf>
    <xf numFmtId="176" fontId="30" fillId="0" borderId="121" xfId="110" applyNumberFormat="1" applyFont="1" applyBorder="1" applyAlignment="1">
      <alignment horizontal="center" vertical="center"/>
    </xf>
    <xf numFmtId="2" fontId="30" fillId="0" borderId="122" xfId="110" applyNumberFormat="1" applyFont="1" applyBorder="1" applyAlignment="1">
      <alignment horizontal="center" vertical="center"/>
    </xf>
    <xf numFmtId="2" fontId="30" fillId="0" borderId="121" xfId="110" applyNumberFormat="1" applyFont="1" applyBorder="1" applyAlignment="1">
      <alignment horizontal="center" vertical="center"/>
    </xf>
    <xf numFmtId="0" fontId="30" fillId="0" borderId="123" xfId="110" applyFont="1" applyBorder="1" applyAlignment="1">
      <alignment horizontal="center" vertical="center"/>
    </xf>
    <xf numFmtId="0" fontId="30" fillId="0" borderId="60" xfId="0" applyFont="1" applyBorder="1" applyAlignment="1">
      <alignment horizontal="center" vertical="center"/>
    </xf>
    <xf numFmtId="0" fontId="30" fillId="0" borderId="60" xfId="0" applyFont="1" applyBorder="1" applyAlignment="1">
      <alignment horizontal="center" vertical="center" wrapText="1"/>
    </xf>
    <xf numFmtId="172" fontId="30" fillId="0" borderId="60" xfId="0" applyNumberFormat="1" applyFont="1" applyBorder="1" applyAlignment="1">
      <alignment horizontal="center" vertical="center"/>
    </xf>
    <xf numFmtId="168" fontId="12" fillId="0" borderId="116" xfId="0" applyNumberFormat="1" applyFont="1" applyBorder="1" applyAlignment="1">
      <alignment horizontal="center" vertical="center"/>
    </xf>
    <xf numFmtId="2" fontId="12" fillId="0" borderId="114" xfId="0" applyNumberFormat="1" applyFont="1" applyBorder="1" applyAlignment="1">
      <alignment horizontal="center" vertical="center"/>
    </xf>
    <xf numFmtId="166" fontId="51" fillId="0" borderId="72" xfId="3" applyNumberFormat="1" applyFont="1" applyFill="1" applyBorder="1" applyAlignment="1">
      <alignment horizontal="center" vertical="center" wrapText="1"/>
    </xf>
    <xf numFmtId="166" fontId="51" fillId="0" borderId="60" xfId="3" applyNumberFormat="1" applyFont="1" applyFill="1" applyBorder="1" applyAlignment="1">
      <alignment horizontal="center" vertical="center" wrapText="1"/>
    </xf>
    <xf numFmtId="166" fontId="51" fillId="0" borderId="62" xfId="3" applyNumberFormat="1" applyFont="1" applyFill="1" applyBorder="1" applyAlignment="1">
      <alignment horizontal="center" vertical="center" wrapText="1"/>
    </xf>
    <xf numFmtId="9" fontId="51" fillId="0" borderId="118" xfId="3" applyFont="1" applyFill="1" applyBorder="1" applyAlignment="1">
      <alignment horizontal="center" vertical="center" wrapText="1"/>
    </xf>
    <xf numFmtId="0" fontId="12" fillId="0" borderId="112" xfId="0" applyFont="1" applyBorder="1" applyAlignment="1">
      <alignment horizontal="center" vertical="center" wrapText="1"/>
    </xf>
    <xf numFmtId="9" fontId="12" fillId="0" borderId="112" xfId="0" applyNumberFormat="1" applyFont="1" applyBorder="1" applyAlignment="1">
      <alignment horizontal="center" vertical="center" wrapText="1"/>
    </xf>
    <xf numFmtId="9" fontId="12" fillId="0" borderId="72" xfId="0" applyNumberFormat="1" applyFont="1" applyBorder="1" applyAlignment="1">
      <alignment horizontal="center" vertical="center"/>
    </xf>
    <xf numFmtId="9" fontId="12" fillId="0" borderId="60" xfId="0" applyNumberFormat="1" applyFont="1" applyBorder="1" applyAlignment="1">
      <alignment horizontal="center" vertical="center"/>
    </xf>
    <xf numFmtId="9" fontId="12" fillId="0" borderId="86" xfId="0" applyNumberFormat="1" applyFont="1" applyBorder="1" applyAlignment="1">
      <alignment horizontal="center" vertical="center"/>
    </xf>
    <xf numFmtId="3" fontId="15" fillId="67" borderId="11" xfId="0" applyNumberFormat="1" applyFont="1" applyFill="1" applyBorder="1" applyAlignment="1">
      <alignment horizontal="center" vertical="center"/>
    </xf>
    <xf numFmtId="3" fontId="15" fillId="67" borderId="120" xfId="0" applyNumberFormat="1" applyFont="1" applyFill="1" applyBorder="1" applyAlignment="1">
      <alignment horizontal="center" vertical="center"/>
    </xf>
    <xf numFmtId="0" fontId="12" fillId="39" borderId="86" xfId="19" applyFill="1" applyBorder="1" applyAlignment="1">
      <alignment horizontal="center" vertical="center" wrapText="1"/>
    </xf>
    <xf numFmtId="170" fontId="12" fillId="39" borderId="86" xfId="19" applyNumberFormat="1" applyFill="1" applyBorder="1" applyAlignment="1">
      <alignment horizontal="center" vertical="center" wrapText="1"/>
    </xf>
    <xf numFmtId="3" fontId="12" fillId="39" borderId="86" xfId="19" applyNumberFormat="1" applyFill="1" applyBorder="1" applyAlignment="1">
      <alignment horizontal="center" vertical="center" wrapText="1"/>
    </xf>
    <xf numFmtId="0" fontId="12" fillId="41" borderId="7" xfId="19" applyFill="1" applyBorder="1" applyAlignment="1">
      <alignment horizontal="center" vertical="center"/>
    </xf>
    <xf numFmtId="0" fontId="12" fillId="41" borderId="7" xfId="19" applyFill="1" applyBorder="1" applyAlignment="1">
      <alignment horizontal="center" wrapText="1"/>
    </xf>
    <xf numFmtId="3" fontId="12" fillId="39" borderId="59" xfId="19" applyNumberFormat="1" applyFill="1" applyBorder="1" applyAlignment="1">
      <alignment horizontal="center" vertical="center" wrapText="1"/>
    </xf>
    <xf numFmtId="3" fontId="12" fillId="39" borderId="61" xfId="19" applyNumberFormat="1" applyFill="1" applyBorder="1" applyAlignment="1">
      <alignment horizontal="center" vertical="center" wrapText="1"/>
    </xf>
    <xf numFmtId="3" fontId="12" fillId="39" borderId="63" xfId="19" applyNumberFormat="1" applyFill="1" applyBorder="1" applyAlignment="1">
      <alignment horizontal="center" vertical="center" wrapText="1"/>
    </xf>
    <xf numFmtId="3" fontId="12" fillId="39" borderId="73" xfId="19" applyNumberFormat="1" applyFill="1" applyBorder="1" applyAlignment="1">
      <alignment horizontal="center" vertical="center" wrapText="1"/>
    </xf>
    <xf numFmtId="3" fontId="12" fillId="39" borderId="89" xfId="19" applyNumberFormat="1" applyFill="1" applyBorder="1" applyAlignment="1">
      <alignment horizontal="center" vertical="center" wrapText="1"/>
    </xf>
    <xf numFmtId="3" fontId="12" fillId="39" borderId="88" xfId="19" applyNumberFormat="1" applyFill="1" applyBorder="1" applyAlignment="1">
      <alignment horizontal="center" vertical="center" wrapText="1"/>
    </xf>
    <xf numFmtId="3" fontId="12" fillId="36" borderId="81" xfId="15" applyNumberFormat="1" applyFont="1" applyFill="1" applyBorder="1" applyAlignment="1">
      <alignment horizontal="center" vertical="center" wrapText="1"/>
    </xf>
    <xf numFmtId="3" fontId="12" fillId="36" borderId="8" xfId="15" applyNumberFormat="1" applyFont="1" applyFill="1" applyBorder="1" applyAlignment="1">
      <alignment horizontal="center" vertical="center" wrapText="1"/>
    </xf>
    <xf numFmtId="3" fontId="12" fillId="36" borderId="61" xfId="15" applyNumberFormat="1" applyFont="1" applyFill="1" applyBorder="1" applyAlignment="1">
      <alignment horizontal="center" vertical="center" wrapText="1"/>
    </xf>
    <xf numFmtId="3" fontId="12" fillId="36" borderId="63" xfId="15" applyNumberFormat="1" applyFont="1" applyFill="1" applyBorder="1" applyAlignment="1">
      <alignment horizontal="center" vertical="center" wrapText="1"/>
    </xf>
    <xf numFmtId="3" fontId="12" fillId="37" borderId="10" xfId="15" applyNumberFormat="1" applyFont="1" applyFill="1" applyBorder="1" applyAlignment="1">
      <alignment horizontal="center" vertical="center" wrapText="1"/>
    </xf>
    <xf numFmtId="3" fontId="12" fillId="37" borderId="114" xfId="15" applyNumberFormat="1" applyFont="1" applyFill="1" applyBorder="1" applyAlignment="1">
      <alignment horizontal="center" vertical="center" wrapText="1"/>
    </xf>
    <xf numFmtId="0" fontId="12" fillId="41" borderId="112" xfId="19" applyFill="1" applyBorder="1" applyAlignment="1">
      <alignment horizontal="center" vertical="center"/>
    </xf>
    <xf numFmtId="3" fontId="15" fillId="0" borderId="5" xfId="19" applyNumberFormat="1" applyFont="1" applyBorder="1" applyAlignment="1">
      <alignment horizontal="center" wrapText="1"/>
    </xf>
    <xf numFmtId="37" fontId="12" fillId="36" borderId="81" xfId="15" applyNumberFormat="1" applyFont="1" applyFill="1" applyBorder="1" applyAlignment="1">
      <alignment horizontal="center" vertical="center" wrapText="1"/>
    </xf>
    <xf numFmtId="170" fontId="12" fillId="39" borderId="58" xfId="19" applyNumberFormat="1" applyFill="1" applyBorder="1" applyAlignment="1">
      <alignment horizontal="center" vertical="center" wrapText="1"/>
    </xf>
    <xf numFmtId="170" fontId="12" fillId="39" borderId="78" xfId="19" applyNumberFormat="1" applyFill="1" applyBorder="1" applyAlignment="1">
      <alignment horizontal="center" vertical="center" wrapText="1"/>
    </xf>
    <xf numFmtId="4" fontId="12" fillId="39" borderId="78" xfId="19" applyNumberFormat="1" applyFill="1" applyBorder="1" applyAlignment="1">
      <alignment horizontal="center" vertical="center" wrapText="1"/>
    </xf>
    <xf numFmtId="37" fontId="12" fillId="37" borderId="8" xfId="15" applyNumberFormat="1" applyFont="1" applyFill="1" applyBorder="1" applyAlignment="1">
      <alignment horizontal="center" vertical="center" wrapText="1"/>
    </xf>
    <xf numFmtId="3" fontId="29" fillId="4" borderId="0" xfId="10" applyNumberFormat="1" applyFont="1" applyFill="1"/>
    <xf numFmtId="170" fontId="12" fillId="0" borderId="112" xfId="0" applyNumberFormat="1" applyFont="1" applyBorder="1" applyAlignment="1">
      <alignment horizontal="center" vertical="center" wrapText="1"/>
    </xf>
    <xf numFmtId="2" fontId="12" fillId="0" borderId="114" xfId="0" applyNumberFormat="1" applyFont="1" applyBorder="1" applyAlignment="1">
      <alignment horizontal="center" vertical="center" wrapText="1"/>
    </xf>
    <xf numFmtId="9" fontId="30" fillId="41" borderId="80" xfId="3" applyFont="1" applyFill="1" applyBorder="1" applyAlignment="1">
      <alignment horizontal="center" vertical="center"/>
    </xf>
    <xf numFmtId="3" fontId="30" fillId="41" borderId="80" xfId="3" applyNumberFormat="1" applyFont="1" applyFill="1" applyBorder="1" applyAlignment="1">
      <alignment horizontal="center" vertical="center"/>
    </xf>
    <xf numFmtId="3" fontId="30" fillId="41" borderId="81" xfId="3" applyNumberFormat="1" applyFont="1" applyFill="1" applyBorder="1" applyAlignment="1">
      <alignment horizontal="center" vertical="center"/>
    </xf>
    <xf numFmtId="9" fontId="30" fillId="38" borderId="9" xfId="3" applyFont="1" applyFill="1" applyBorder="1" applyAlignment="1">
      <alignment horizontal="center" vertical="center"/>
    </xf>
    <xf numFmtId="166" fontId="12" fillId="35" borderId="10" xfId="19" applyNumberFormat="1" applyFill="1" applyBorder="1" applyAlignment="1">
      <alignment horizontal="center" wrapText="1"/>
    </xf>
    <xf numFmtId="9" fontId="30" fillId="38" borderId="113" xfId="3" applyFont="1" applyFill="1" applyBorder="1" applyAlignment="1">
      <alignment horizontal="center" vertical="center"/>
    </xf>
    <xf numFmtId="166" fontId="12" fillId="35" borderId="114" xfId="19" applyNumberFormat="1" applyFill="1" applyBorder="1" applyAlignment="1">
      <alignment horizontal="center" wrapText="1"/>
    </xf>
    <xf numFmtId="9" fontId="30" fillId="40" borderId="113" xfId="3" applyFont="1" applyFill="1" applyBorder="1" applyAlignment="1">
      <alignment horizontal="center" vertical="center"/>
    </xf>
    <xf numFmtId="0" fontId="30" fillId="40" borderId="113" xfId="19" applyFont="1" applyFill="1" applyBorder="1" applyAlignment="1">
      <alignment horizontal="center" vertical="center"/>
    </xf>
    <xf numFmtId="9" fontId="30" fillId="41" borderId="113" xfId="3" applyFont="1" applyFill="1" applyBorder="1" applyAlignment="1">
      <alignment horizontal="center" vertical="center"/>
    </xf>
    <xf numFmtId="0" fontId="70" fillId="60" borderId="9" xfId="19" applyFont="1" applyFill="1" applyBorder="1" applyAlignment="1">
      <alignment horizontal="center" vertical="center" wrapText="1"/>
    </xf>
    <xf numFmtId="0" fontId="70" fillId="60" borderId="16" xfId="19" applyFont="1" applyFill="1" applyBorder="1" applyAlignment="1">
      <alignment horizontal="center" vertical="center" wrapText="1"/>
    </xf>
    <xf numFmtId="0" fontId="70" fillId="60" borderId="10" xfId="19" applyFont="1" applyFill="1" applyBorder="1" applyAlignment="1">
      <alignment horizontal="center" vertical="center" wrapText="1"/>
    </xf>
    <xf numFmtId="0" fontId="12" fillId="39" borderId="113" xfId="19" applyFill="1" applyBorder="1" applyAlignment="1">
      <alignment horizontal="center" vertical="center" wrapText="1"/>
    </xf>
    <xf numFmtId="0" fontId="12" fillId="39" borderId="112" xfId="19" applyFill="1" applyBorder="1" applyAlignment="1">
      <alignment horizontal="center" vertical="center" wrapText="1"/>
    </xf>
    <xf numFmtId="3" fontId="12" fillId="39" borderId="114" xfId="19" applyNumberFormat="1" applyFill="1" applyBorder="1" applyAlignment="1">
      <alignment horizontal="center" vertical="center" wrapText="1"/>
    </xf>
    <xf numFmtId="3" fontId="19" fillId="35" borderId="0" xfId="19" applyNumberFormat="1" applyFont="1" applyFill="1"/>
    <xf numFmtId="3" fontId="12" fillId="67" borderId="60" xfId="19" applyNumberFormat="1" applyFill="1" applyBorder="1" applyAlignment="1">
      <alignment horizontal="center" vertical="center" wrapText="1"/>
    </xf>
    <xf numFmtId="3" fontId="12" fillId="67" borderId="86" xfId="19" applyNumberFormat="1" applyFill="1" applyBorder="1" applyAlignment="1">
      <alignment horizontal="center" vertical="center" wrapText="1"/>
    </xf>
    <xf numFmtId="3" fontId="12" fillId="67" borderId="80" xfId="15" applyNumberFormat="1" applyFont="1" applyFill="1" applyBorder="1" applyAlignment="1">
      <alignment horizontal="center" vertical="center" wrapText="1"/>
    </xf>
    <xf numFmtId="3" fontId="12" fillId="67" borderId="62" xfId="19" applyNumberFormat="1" applyFill="1" applyBorder="1" applyAlignment="1">
      <alignment horizontal="center" vertical="center" wrapText="1"/>
    </xf>
    <xf numFmtId="3" fontId="12" fillId="70" borderId="16" xfId="19" applyNumberFormat="1" applyFill="1" applyBorder="1" applyAlignment="1">
      <alignment horizontal="center" wrapText="1"/>
    </xf>
    <xf numFmtId="3" fontId="12" fillId="67" borderId="16" xfId="15" applyNumberFormat="1" applyFont="1" applyFill="1" applyBorder="1" applyAlignment="1">
      <alignment horizontal="center" vertical="center" wrapText="1"/>
    </xf>
    <xf numFmtId="3" fontId="12" fillId="70" borderId="112" xfId="19" applyNumberFormat="1" applyFill="1" applyBorder="1" applyAlignment="1">
      <alignment horizontal="center" wrapText="1"/>
    </xf>
    <xf numFmtId="3" fontId="12" fillId="70" borderId="80" xfId="19" applyNumberFormat="1" applyFill="1" applyBorder="1" applyAlignment="1">
      <alignment horizontal="center" wrapText="1"/>
    </xf>
    <xf numFmtId="0" fontId="12" fillId="39" borderId="67" xfId="19" applyFill="1" applyBorder="1" applyAlignment="1">
      <alignment horizontal="center" vertical="center"/>
    </xf>
    <xf numFmtId="3" fontId="12" fillId="39" borderId="16" xfId="19" applyNumberFormat="1" applyFill="1" applyBorder="1" applyAlignment="1">
      <alignment horizontal="center" vertical="center" wrapText="1"/>
    </xf>
    <xf numFmtId="166" fontId="12" fillId="39" borderId="10" xfId="19" applyNumberFormat="1" applyFill="1" applyBorder="1" applyAlignment="1">
      <alignment horizontal="center" vertical="center" wrapText="1"/>
    </xf>
    <xf numFmtId="0" fontId="12" fillId="39" borderId="117" xfId="19" applyFill="1" applyBorder="1" applyAlignment="1">
      <alignment horizontal="center" vertical="center"/>
    </xf>
    <xf numFmtId="0" fontId="12" fillId="39" borderId="83" xfId="19" applyFill="1" applyBorder="1" applyAlignment="1">
      <alignment horizontal="center" vertical="center"/>
    </xf>
    <xf numFmtId="166" fontId="12" fillId="39" borderId="53" xfId="19" applyNumberFormat="1" applyFill="1" applyBorder="1" applyAlignment="1">
      <alignment horizontal="center" vertical="center" wrapText="1"/>
    </xf>
    <xf numFmtId="0" fontId="12" fillId="39" borderId="120" xfId="19" applyFill="1" applyBorder="1" applyAlignment="1">
      <alignment horizontal="center" vertical="center"/>
    </xf>
    <xf numFmtId="0" fontId="12" fillId="39" borderId="67" xfId="19" applyFill="1" applyBorder="1" applyAlignment="1">
      <alignment horizontal="center" vertical="center" wrapText="1"/>
    </xf>
    <xf numFmtId="0" fontId="12" fillId="39" borderId="117" xfId="19" applyFill="1" applyBorder="1" applyAlignment="1">
      <alignment horizontal="center" vertical="center" wrapText="1"/>
    </xf>
    <xf numFmtId="3" fontId="12" fillId="39" borderId="112" xfId="19" applyNumberFormat="1" applyFill="1" applyBorder="1" applyAlignment="1">
      <alignment horizontal="center" vertical="center" wrapText="1"/>
    </xf>
    <xf numFmtId="0" fontId="12" fillId="39" borderId="120" xfId="19" applyFill="1" applyBorder="1" applyAlignment="1">
      <alignment horizontal="center" vertical="center" wrapText="1"/>
    </xf>
    <xf numFmtId="9" fontId="30" fillId="41" borderId="11" xfId="3" applyFont="1" applyFill="1" applyBorder="1" applyAlignment="1">
      <alignment horizontal="center" vertical="center"/>
    </xf>
    <xf numFmtId="3" fontId="15" fillId="0" borderId="11" xfId="0" applyNumberFormat="1" applyFont="1" applyBorder="1" applyAlignment="1">
      <alignment horizontal="center" vertical="center"/>
    </xf>
    <xf numFmtId="3" fontId="15" fillId="0" borderId="120" xfId="0" applyNumberFormat="1" applyFont="1" applyBorder="1" applyAlignment="1">
      <alignment horizontal="center" vertical="center"/>
    </xf>
    <xf numFmtId="170" fontId="15" fillId="0" borderId="120" xfId="0" applyNumberFormat="1" applyFont="1" applyBorder="1" applyAlignment="1">
      <alignment horizontal="center" vertical="center"/>
    </xf>
    <xf numFmtId="3" fontId="15" fillId="0" borderId="116" xfId="0" applyNumberFormat="1" applyFont="1" applyBorder="1" applyAlignment="1">
      <alignment horizontal="center" vertical="center"/>
    </xf>
    <xf numFmtId="3" fontId="15" fillId="0" borderId="23" xfId="0" applyNumberFormat="1" applyFont="1" applyBorder="1" applyAlignment="1">
      <alignment horizontal="center" vertical="center"/>
    </xf>
    <xf numFmtId="3" fontId="0" fillId="0" borderId="61" xfId="0" applyNumberFormat="1" applyBorder="1" applyAlignment="1">
      <alignment horizontal="center" vertical="center"/>
    </xf>
    <xf numFmtId="3" fontId="12" fillId="39" borderId="80" xfId="0" applyNumberFormat="1" applyFont="1" applyFill="1" applyBorder="1" applyAlignment="1">
      <alignment horizontal="center" vertical="center" wrapText="1"/>
    </xf>
    <xf numFmtId="3" fontId="12" fillId="39" borderId="60" xfId="0" applyNumberFormat="1" applyFont="1" applyFill="1" applyBorder="1" applyAlignment="1">
      <alignment horizontal="center" vertical="center" wrapText="1"/>
    </xf>
    <xf numFmtId="9" fontId="12" fillId="39" borderId="127" xfId="0" applyNumberFormat="1" applyFont="1" applyFill="1" applyBorder="1" applyAlignment="1">
      <alignment horizontal="center" vertical="center" wrapText="1"/>
    </xf>
    <xf numFmtId="3" fontId="12" fillId="39" borderId="62" xfId="0" applyNumberFormat="1" applyFont="1" applyFill="1" applyBorder="1" applyAlignment="1">
      <alignment horizontal="center" vertical="center" wrapText="1"/>
    </xf>
    <xf numFmtId="9" fontId="12" fillId="39" borderId="128" xfId="0" applyNumberFormat="1" applyFont="1" applyFill="1" applyBorder="1" applyAlignment="1">
      <alignment horizontal="center" vertical="center" wrapText="1"/>
    </xf>
    <xf numFmtId="3" fontId="51" fillId="39" borderId="72" xfId="0" applyNumberFormat="1" applyFont="1" applyFill="1" applyBorder="1" applyAlignment="1">
      <alignment horizontal="center" vertical="center"/>
    </xf>
    <xf numFmtId="9" fontId="12" fillId="39" borderId="126" xfId="0" applyNumberFormat="1" applyFont="1" applyFill="1" applyBorder="1" applyAlignment="1">
      <alignment horizontal="center" vertical="center" wrapText="1"/>
    </xf>
    <xf numFmtId="3" fontId="51" fillId="39" borderId="60" xfId="0" applyNumberFormat="1" applyFont="1" applyFill="1" applyBorder="1" applyAlignment="1">
      <alignment horizontal="center" vertical="center"/>
    </xf>
    <xf numFmtId="0" fontId="12" fillId="39" borderId="97" xfId="0" applyFont="1" applyFill="1" applyBorder="1" applyAlignment="1">
      <alignment horizontal="center" vertical="center" wrapText="1"/>
    </xf>
    <xf numFmtId="3" fontId="51" fillId="39" borderId="78" xfId="0" applyNumberFormat="1" applyFont="1" applyFill="1" applyBorder="1" applyAlignment="1">
      <alignment horizontal="center" vertical="center"/>
    </xf>
    <xf numFmtId="9" fontId="12" fillId="39" borderId="129" xfId="0" applyNumberFormat="1" applyFont="1" applyFill="1" applyBorder="1" applyAlignment="1">
      <alignment horizontal="center" vertical="center" wrapText="1"/>
    </xf>
    <xf numFmtId="9" fontId="30" fillId="39" borderId="88" xfId="0" applyNumberFormat="1" applyFont="1" applyFill="1" applyBorder="1" applyAlignment="1">
      <alignment horizontal="center" vertical="center" wrapText="1"/>
    </xf>
    <xf numFmtId="9" fontId="30" fillId="39" borderId="73" xfId="0" applyNumberFormat="1" applyFont="1" applyFill="1" applyBorder="1" applyAlignment="1">
      <alignment horizontal="center" vertical="center" wrapText="1"/>
    </xf>
    <xf numFmtId="3" fontId="12" fillId="59" borderId="22" xfId="0" applyNumberFormat="1" applyFont="1" applyFill="1" applyBorder="1" applyAlignment="1">
      <alignment horizontal="center" vertical="center"/>
    </xf>
    <xf numFmtId="3" fontId="12" fillId="0" borderId="22" xfId="0" applyNumberFormat="1" applyFont="1" applyBorder="1" applyAlignment="1">
      <alignment horizontal="center" vertical="center"/>
    </xf>
    <xf numFmtId="4" fontId="12" fillId="0" borderId="108" xfId="0" applyNumberFormat="1" applyFont="1" applyBorder="1" applyAlignment="1">
      <alignment horizontal="center" vertical="center"/>
    </xf>
    <xf numFmtId="3" fontId="12" fillId="0" borderId="108" xfId="0" applyNumberFormat="1" applyFont="1" applyBorder="1" applyAlignment="1">
      <alignment horizontal="center" vertical="center"/>
    </xf>
    <xf numFmtId="4" fontId="12" fillId="0" borderId="38" xfId="0" applyNumberFormat="1" applyFont="1" applyBorder="1" applyAlignment="1">
      <alignment horizontal="center" vertical="center"/>
    </xf>
    <xf numFmtId="4" fontId="15" fillId="0" borderId="17" xfId="0" applyNumberFormat="1" applyFont="1" applyBorder="1" applyAlignment="1">
      <alignment horizontal="center" vertical="center" wrapText="1"/>
    </xf>
    <xf numFmtId="3" fontId="15" fillId="0" borderId="17" xfId="0" applyNumberFormat="1" applyFont="1" applyBorder="1" applyAlignment="1">
      <alignment horizontal="center" vertical="center" wrapText="1"/>
    </xf>
    <xf numFmtId="4" fontId="15" fillId="0" borderId="5" xfId="0" applyNumberFormat="1" applyFont="1" applyBorder="1" applyAlignment="1">
      <alignment horizontal="center" vertical="center" wrapText="1"/>
    </xf>
    <xf numFmtId="3" fontId="19" fillId="35" borderId="0" xfId="19" applyNumberFormat="1" applyFont="1" applyFill="1" applyAlignment="1">
      <alignment wrapText="1"/>
    </xf>
    <xf numFmtId="170" fontId="19" fillId="35" borderId="0" xfId="19" applyNumberFormat="1" applyFont="1" applyFill="1" applyAlignment="1">
      <alignment wrapText="1"/>
    </xf>
    <xf numFmtId="181" fontId="12" fillId="0" borderId="76" xfId="0" applyNumberFormat="1" applyFont="1" applyBorder="1" applyAlignment="1">
      <alignment horizontal="center" vertical="center"/>
    </xf>
    <xf numFmtId="171" fontId="12" fillId="35" borderId="0" xfId="19" applyNumberFormat="1" applyFill="1" applyAlignment="1">
      <alignment horizontal="center" wrapText="1"/>
    </xf>
    <xf numFmtId="4" fontId="0" fillId="4" borderId="0" xfId="0" applyNumberFormat="1" applyFill="1"/>
    <xf numFmtId="0" fontId="12" fillId="36" borderId="4" xfId="0" applyFont="1" applyFill="1" applyBorder="1" applyAlignment="1">
      <alignment horizontal="center" vertical="center"/>
    </xf>
    <xf numFmtId="0" fontId="15" fillId="4" borderId="66" xfId="0" applyFont="1" applyFill="1" applyBorder="1" applyAlignment="1">
      <alignment horizontal="left" vertical="top" wrapText="1"/>
    </xf>
    <xf numFmtId="0" fontId="15" fillId="0" borderId="11" xfId="0" applyFont="1" applyBorder="1" applyAlignment="1">
      <alignment horizontal="left" vertical="top"/>
    </xf>
    <xf numFmtId="9" fontId="0" fillId="71" borderId="5" xfId="0" applyNumberFormat="1" applyFill="1" applyBorder="1" applyAlignment="1">
      <alignment horizontal="center" vertical="center"/>
    </xf>
    <xf numFmtId="0" fontId="20" fillId="4" borderId="135" xfId="2" applyFill="1" applyBorder="1" applyAlignment="1" applyProtection="1">
      <alignment horizontal="center" vertical="center" wrapText="1"/>
    </xf>
    <xf numFmtId="9" fontId="30" fillId="62" borderId="8" xfId="3" applyFont="1" applyFill="1" applyBorder="1" applyAlignment="1">
      <alignment horizontal="center" vertical="center"/>
    </xf>
    <xf numFmtId="3" fontId="30" fillId="40" borderId="112" xfId="3" applyNumberFormat="1" applyFont="1" applyFill="1" applyBorder="1" applyAlignment="1">
      <alignment horizontal="center" vertical="center"/>
    </xf>
    <xf numFmtId="9" fontId="30" fillId="40" borderId="114" xfId="3" applyFont="1" applyFill="1" applyBorder="1" applyAlignment="1">
      <alignment horizontal="center" vertical="center"/>
    </xf>
    <xf numFmtId="3" fontId="30" fillId="41" borderId="112" xfId="3" applyNumberFormat="1" applyFont="1" applyFill="1" applyBorder="1" applyAlignment="1">
      <alignment horizontal="center" vertical="center"/>
    </xf>
    <xf numFmtId="9" fontId="30" fillId="41" borderId="114" xfId="3" applyFont="1" applyFill="1" applyBorder="1" applyAlignment="1">
      <alignment horizontal="center" vertical="center"/>
    </xf>
    <xf numFmtId="9" fontId="30" fillId="39" borderId="136" xfId="3" applyFont="1" applyFill="1" applyBorder="1" applyAlignment="1">
      <alignment horizontal="center" vertical="center"/>
    </xf>
    <xf numFmtId="9" fontId="30" fillId="39" borderId="127" xfId="3" applyFont="1" applyFill="1" applyBorder="1" applyAlignment="1">
      <alignment horizontal="center" vertical="center"/>
    </xf>
    <xf numFmtId="9" fontId="30" fillId="40" borderId="126" xfId="3" applyFont="1" applyFill="1" applyBorder="1" applyAlignment="1">
      <alignment horizontal="center" vertical="center"/>
    </xf>
    <xf numFmtId="9" fontId="30" fillId="40" borderId="128" xfId="3" applyFont="1" applyFill="1" applyBorder="1" applyAlignment="1">
      <alignment horizontal="center" vertical="center"/>
    </xf>
    <xf numFmtId="9" fontId="30" fillId="41" borderId="126" xfId="3" applyFont="1" applyFill="1" applyBorder="1" applyAlignment="1">
      <alignment horizontal="center" vertical="center"/>
    </xf>
    <xf numFmtId="9" fontId="30" fillId="41" borderId="130" xfId="3" applyFont="1" applyFill="1" applyBorder="1" applyAlignment="1">
      <alignment horizontal="center" vertical="center"/>
    </xf>
    <xf numFmtId="9" fontId="30" fillId="41" borderId="127" xfId="3" applyFont="1" applyFill="1" applyBorder="1" applyAlignment="1">
      <alignment horizontal="center" vertical="center"/>
    </xf>
    <xf numFmtId="9" fontId="30" fillId="41" borderId="128" xfId="3" applyFont="1" applyFill="1" applyBorder="1" applyAlignment="1">
      <alignment horizontal="center" vertical="center"/>
    </xf>
    <xf numFmtId="9" fontId="47" fillId="35" borderId="119" xfId="3" applyFont="1" applyFill="1" applyBorder="1" applyAlignment="1">
      <alignment horizontal="center" vertical="center"/>
    </xf>
    <xf numFmtId="0" fontId="70" fillId="61" borderId="20" xfId="0" applyFont="1" applyFill="1" applyBorder="1" applyAlignment="1">
      <alignment horizontal="center" vertical="center" wrapText="1"/>
    </xf>
    <xf numFmtId="3" fontId="15" fillId="4" borderId="119" xfId="0" applyNumberFormat="1" applyFont="1" applyFill="1" applyBorder="1" applyAlignment="1">
      <alignment horizontal="center" vertical="center" wrapText="1"/>
    </xf>
    <xf numFmtId="3" fontId="30" fillId="0" borderId="61" xfId="0" applyNumberFormat="1" applyFont="1" applyBorder="1" applyAlignment="1">
      <alignment horizontal="center" vertical="center"/>
    </xf>
    <xf numFmtId="0" fontId="70" fillId="72" borderId="5" xfId="19" applyFont="1" applyFill="1" applyBorder="1" applyAlignment="1">
      <alignment horizontal="center" vertical="center" wrapText="1"/>
    </xf>
    <xf numFmtId="0" fontId="15" fillId="4" borderId="0" xfId="0" applyFont="1" applyFill="1" applyAlignment="1">
      <alignment horizontal="center" vertical="center" wrapText="1"/>
    </xf>
    <xf numFmtId="3" fontId="15" fillId="4" borderId="0" xfId="0" applyNumberFormat="1" applyFont="1" applyFill="1" applyAlignment="1">
      <alignment horizontal="center" vertical="center" wrapText="1"/>
    </xf>
    <xf numFmtId="0" fontId="70" fillId="73" borderId="9" xfId="0" applyFont="1" applyFill="1" applyBorder="1" applyAlignment="1">
      <alignment horizontal="center" vertical="center" wrapText="1"/>
    </xf>
    <xf numFmtId="0" fontId="70" fillId="73" borderId="16" xfId="0" applyFont="1" applyFill="1" applyBorder="1" applyAlignment="1">
      <alignment horizontal="center" vertical="center" wrapText="1"/>
    </xf>
    <xf numFmtId="0" fontId="70" fillId="73" borderId="10" xfId="0" applyFont="1" applyFill="1" applyBorder="1" applyAlignment="1">
      <alignment horizontal="center" vertical="center" wrapText="1"/>
    </xf>
    <xf numFmtId="0" fontId="20" fillId="0" borderId="0" xfId="2" applyAlignment="1" applyProtection="1"/>
    <xf numFmtId="3" fontId="51" fillId="39" borderId="112" xfId="0" applyNumberFormat="1" applyFont="1" applyFill="1" applyBorder="1" applyAlignment="1">
      <alignment horizontal="center" vertical="center"/>
    </xf>
    <xf numFmtId="3" fontId="51" fillId="39" borderId="114" xfId="0" applyNumberFormat="1" applyFont="1" applyFill="1" applyBorder="1" applyAlignment="1">
      <alignment horizontal="center" vertical="center"/>
    </xf>
    <xf numFmtId="3" fontId="30" fillId="39" borderId="60" xfId="0" applyNumberFormat="1" applyFont="1" applyFill="1" applyBorder="1" applyAlignment="1">
      <alignment horizontal="center" vertical="center"/>
    </xf>
    <xf numFmtId="0" fontId="12" fillId="4" borderId="48" xfId="0" applyFont="1" applyFill="1" applyBorder="1" applyAlignment="1">
      <alignment horizontal="center" vertical="center" wrapText="1"/>
    </xf>
    <xf numFmtId="0" fontId="70" fillId="61" borderId="39" xfId="110" applyFont="1" applyFill="1" applyBorder="1" applyAlignment="1">
      <alignment horizontal="center" vertical="center" wrapText="1"/>
    </xf>
    <xf numFmtId="3" fontId="12" fillId="39" borderId="112" xfId="0" applyNumberFormat="1" applyFont="1" applyFill="1" applyBorder="1" applyAlignment="1">
      <alignment horizontal="center" vertical="center" wrapText="1"/>
    </xf>
    <xf numFmtId="3" fontId="12" fillId="39" borderId="49" xfId="0" applyNumberFormat="1" applyFont="1" applyFill="1" applyBorder="1" applyAlignment="1">
      <alignment horizontal="center" vertical="center" wrapText="1"/>
    </xf>
    <xf numFmtId="3" fontId="12" fillId="65" borderId="50" xfId="0" applyNumberFormat="1" applyFont="1" applyFill="1" applyBorder="1" applyAlignment="1">
      <alignment horizontal="center" vertical="center" wrapText="1"/>
    </xf>
    <xf numFmtId="3" fontId="30" fillId="38" borderId="8" xfId="3" applyNumberFormat="1" applyFont="1" applyFill="1" applyBorder="1" applyAlignment="1">
      <alignment horizontal="center" vertical="center"/>
    </xf>
    <xf numFmtId="0" fontId="15" fillId="35" borderId="0" xfId="19" applyFont="1" applyFill="1" applyAlignment="1">
      <alignment horizontal="center" vertical="center"/>
    </xf>
    <xf numFmtId="3" fontId="47" fillId="35" borderId="0" xfId="3" applyNumberFormat="1" applyFont="1" applyFill="1" applyBorder="1" applyAlignment="1">
      <alignment horizontal="center" vertical="center"/>
    </xf>
    <xf numFmtId="9" fontId="47" fillId="35" borderId="0" xfId="3" applyFont="1" applyFill="1" applyBorder="1" applyAlignment="1">
      <alignment horizontal="center" vertical="center"/>
    </xf>
    <xf numFmtId="0" fontId="20" fillId="0" borderId="21" xfId="2" applyBorder="1" applyAlignment="1" applyProtection="1">
      <alignment horizontal="center" vertical="center"/>
    </xf>
    <xf numFmtId="0" fontId="70" fillId="73" borderId="34" xfId="0" applyFont="1" applyFill="1" applyBorder="1" applyAlignment="1">
      <alignment horizontal="center" vertical="center" wrapText="1"/>
    </xf>
    <xf numFmtId="3" fontId="51" fillId="39" borderId="115" xfId="0" applyNumberFormat="1" applyFont="1" applyFill="1" applyBorder="1" applyAlignment="1">
      <alignment horizontal="center" vertical="center"/>
    </xf>
    <xf numFmtId="3" fontId="12" fillId="39" borderId="115" xfId="0" applyNumberFormat="1" applyFont="1" applyFill="1" applyBorder="1" applyAlignment="1">
      <alignment horizontal="center" vertical="center" wrapText="1"/>
    </xf>
    <xf numFmtId="3" fontId="12" fillId="65" borderId="94" xfId="0" applyNumberFormat="1" applyFont="1" applyFill="1" applyBorder="1" applyAlignment="1">
      <alignment horizontal="center" vertical="center" wrapText="1"/>
    </xf>
    <xf numFmtId="3" fontId="12" fillId="65" borderId="114" xfId="0" applyNumberFormat="1" applyFont="1" applyFill="1" applyBorder="1" applyAlignment="1">
      <alignment horizontal="center" vertical="center" wrapText="1"/>
    </xf>
    <xf numFmtId="0" fontId="15" fillId="0" borderId="0" xfId="0" applyFont="1" applyAlignment="1">
      <alignment horizontal="center"/>
    </xf>
    <xf numFmtId="0" fontId="30" fillId="0" borderId="66" xfId="10" applyFont="1" applyBorder="1" applyAlignment="1">
      <alignment horizontal="center" vertical="center"/>
    </xf>
    <xf numFmtId="166" fontId="30" fillId="0" borderId="53" xfId="10" applyNumberFormat="1" applyFont="1" applyBorder="1" applyAlignment="1">
      <alignment horizontal="center" vertical="center"/>
    </xf>
    <xf numFmtId="9" fontId="12" fillId="39" borderId="114" xfId="0" applyNumberFormat="1" applyFont="1" applyFill="1" applyBorder="1" applyAlignment="1">
      <alignment horizontal="center" vertical="center" wrapText="1"/>
    </xf>
    <xf numFmtId="0" fontId="12" fillId="0" borderId="70" xfId="0" applyFont="1" applyBorder="1" applyAlignment="1">
      <alignment horizontal="center" vertical="center"/>
    </xf>
    <xf numFmtId="3" fontId="12" fillId="42" borderId="117" xfId="1" applyNumberFormat="1" applyFont="1" applyFill="1" applyBorder="1" applyAlignment="1">
      <alignment horizontal="center" vertical="center"/>
    </xf>
    <xf numFmtId="3" fontId="12" fillId="42" borderId="112" xfId="4" applyNumberFormat="1" applyFont="1" applyFill="1" applyBorder="1" applyAlignment="1">
      <alignment horizontal="center" vertical="center" wrapText="1"/>
    </xf>
    <xf numFmtId="3" fontId="12" fillId="42" borderId="118" xfId="4" applyNumberFormat="1" applyFont="1" applyFill="1" applyBorder="1" applyAlignment="1">
      <alignment horizontal="center" vertical="center"/>
    </xf>
    <xf numFmtId="3" fontId="12" fillId="42" borderId="118" xfId="4" applyNumberFormat="1" applyFont="1" applyFill="1" applyBorder="1" applyAlignment="1">
      <alignment horizontal="center" vertical="center" wrapText="1"/>
    </xf>
    <xf numFmtId="3" fontId="12" fillId="36" borderId="112" xfId="15" applyNumberFormat="1" applyFont="1" applyFill="1" applyBorder="1" applyAlignment="1">
      <alignment horizontal="center" vertical="center"/>
    </xf>
    <xf numFmtId="3" fontId="12" fillId="36" borderId="114" xfId="15" applyNumberFormat="1" applyFont="1" applyFill="1" applyBorder="1" applyAlignment="1">
      <alignment horizontal="center" vertical="center"/>
    </xf>
    <xf numFmtId="3" fontId="12" fillId="36" borderId="7" xfId="15" applyNumberFormat="1" applyFont="1" applyFill="1" applyBorder="1" applyAlignment="1">
      <alignment horizontal="center" vertical="center"/>
    </xf>
    <xf numFmtId="3" fontId="12" fillId="36" borderId="113" xfId="15" applyNumberFormat="1" applyFont="1" applyFill="1" applyBorder="1" applyAlignment="1">
      <alignment horizontal="center" vertical="center"/>
    </xf>
    <xf numFmtId="3" fontId="12" fillId="36" borderId="66" xfId="15" applyNumberFormat="1" applyFont="1" applyFill="1" applyBorder="1" applyAlignment="1">
      <alignment horizontal="center" vertical="center"/>
    </xf>
    <xf numFmtId="3" fontId="12" fillId="36" borderId="53" xfId="15" applyNumberFormat="1" applyFont="1" applyFill="1" applyBorder="1" applyAlignment="1">
      <alignment horizontal="center" vertical="center"/>
    </xf>
    <xf numFmtId="3" fontId="12" fillId="36" borderId="11" xfId="15" applyNumberFormat="1" applyFont="1" applyFill="1" applyBorder="1" applyAlignment="1">
      <alignment horizontal="center" vertical="center"/>
    </xf>
    <xf numFmtId="0" fontId="12" fillId="4" borderId="0" xfId="0" applyFont="1" applyFill="1" applyAlignment="1">
      <alignment horizontal="center" vertical="center" wrapText="1"/>
    </xf>
    <xf numFmtId="0" fontId="75" fillId="4" borderId="0" xfId="0" applyFont="1" applyFill="1" applyAlignment="1">
      <alignment horizontal="center" vertical="center" wrapText="1"/>
    </xf>
    <xf numFmtId="0" fontId="30" fillId="4" borderId="0" xfId="0" applyFont="1" applyFill="1" applyAlignment="1">
      <alignment horizontal="center" vertical="center" wrapText="1"/>
    </xf>
    <xf numFmtId="0" fontId="12" fillId="0" borderId="3" xfId="0" applyFont="1" applyBorder="1" applyAlignment="1">
      <alignment horizontal="left" vertical="top" wrapText="1"/>
    </xf>
    <xf numFmtId="0" fontId="70" fillId="61" borderId="12" xfId="0" applyFont="1" applyFill="1" applyBorder="1" applyAlignment="1">
      <alignment horizontal="center" vertical="center" wrapText="1"/>
    </xf>
    <xf numFmtId="0" fontId="51" fillId="0" borderId="112" xfId="0" applyFont="1" applyBorder="1"/>
    <xf numFmtId="0" fontId="30" fillId="0" borderId="66" xfId="0" applyFont="1" applyBorder="1" applyAlignment="1">
      <alignment horizontal="center" vertical="center"/>
    </xf>
    <xf numFmtId="3" fontId="30" fillId="42" borderId="118" xfId="0" applyNumberFormat="1" applyFont="1" applyFill="1" applyBorder="1" applyAlignment="1">
      <alignment horizontal="center" vertical="center"/>
    </xf>
    <xf numFmtId="2" fontId="30" fillId="67" borderId="66" xfId="0" applyNumberFormat="1" applyFont="1" applyFill="1" applyBorder="1" applyAlignment="1">
      <alignment horizontal="center" vertical="center"/>
    </xf>
    <xf numFmtId="2" fontId="30" fillId="67" borderId="118" xfId="0" applyNumberFormat="1" applyFont="1" applyFill="1" applyBorder="1" applyAlignment="1">
      <alignment horizontal="center" vertical="center"/>
    </xf>
    <xf numFmtId="2" fontId="30" fillId="67" borderId="90" xfId="0" applyNumberFormat="1" applyFont="1" applyFill="1" applyBorder="1" applyAlignment="1">
      <alignment horizontal="center" vertical="center"/>
    </xf>
    <xf numFmtId="3" fontId="30" fillId="0" borderId="67" xfId="0" applyNumberFormat="1" applyFont="1" applyBorder="1" applyAlignment="1">
      <alignment horizontal="center" vertical="center"/>
    </xf>
    <xf numFmtId="3" fontId="30" fillId="0" borderId="117" xfId="0" applyNumberFormat="1" applyFont="1" applyBorder="1" applyAlignment="1">
      <alignment horizontal="center" vertical="center"/>
    </xf>
    <xf numFmtId="0" fontId="30" fillId="0" borderId="77" xfId="0" applyFont="1" applyBorder="1" applyAlignment="1">
      <alignment horizontal="center" vertical="center"/>
    </xf>
    <xf numFmtId="0" fontId="20" fillId="4" borderId="21" xfId="2" applyFill="1" applyBorder="1" applyAlignment="1" applyProtection="1">
      <alignment horizontal="center" vertical="center" wrapText="1"/>
    </xf>
    <xf numFmtId="176" fontId="30" fillId="65" borderId="121" xfId="110" applyNumberFormat="1" applyFont="1" applyFill="1" applyBorder="1" applyAlignment="1">
      <alignment horizontal="center" vertical="center"/>
    </xf>
    <xf numFmtId="169" fontId="12" fillId="0" borderId="118" xfId="0" applyNumberFormat="1" applyFont="1" applyBorder="1" applyAlignment="1">
      <alignment horizontal="center" vertical="center" wrapText="1"/>
    </xf>
    <xf numFmtId="2" fontId="30" fillId="0" borderId="123" xfId="110" applyNumberFormat="1" applyFont="1" applyBorder="1" applyAlignment="1">
      <alignment horizontal="center" vertical="center"/>
    </xf>
    <xf numFmtId="176" fontId="30" fillId="0" borderId="123" xfId="110" applyNumberFormat="1" applyFont="1" applyBorder="1" applyAlignment="1">
      <alignment horizontal="center" vertical="center"/>
    </xf>
    <xf numFmtId="0" fontId="20" fillId="4" borderId="88" xfId="2" applyFill="1" applyBorder="1" applyAlignment="1" applyProtection="1">
      <alignment horizontal="center" vertical="center"/>
    </xf>
    <xf numFmtId="0" fontId="30" fillId="67" borderId="120" xfId="0" applyFont="1" applyFill="1" applyBorder="1" applyAlignment="1">
      <alignment horizontal="center" vertical="center"/>
    </xf>
    <xf numFmtId="3" fontId="47" fillId="0" borderId="35" xfId="0" applyNumberFormat="1" applyFont="1" applyBorder="1" applyAlignment="1">
      <alignment horizontal="center" vertical="center"/>
    </xf>
    <xf numFmtId="0" fontId="70" fillId="61" borderId="131" xfId="0" applyFont="1" applyFill="1" applyBorder="1" applyAlignment="1">
      <alignment horizontal="center" vertical="center" wrapText="1"/>
    </xf>
    <xf numFmtId="0" fontId="30" fillId="0" borderId="113" xfId="110" applyFont="1" applyBorder="1" applyAlignment="1">
      <alignment horizontal="center" vertical="center" wrapText="1"/>
    </xf>
    <xf numFmtId="0" fontId="20" fillId="0" borderId="14" xfId="2" applyBorder="1" applyAlignment="1" applyProtection="1">
      <alignment horizontal="center" vertical="center" wrapText="1"/>
    </xf>
    <xf numFmtId="0" fontId="12" fillId="4" borderId="96" xfId="0" applyFont="1" applyFill="1" applyBorder="1" applyAlignment="1">
      <alignment horizontal="center" vertical="center" wrapText="1"/>
    </xf>
    <xf numFmtId="1" fontId="12" fillId="36" borderId="113" xfId="0" applyNumberFormat="1" applyFont="1" applyFill="1" applyBorder="1" applyAlignment="1">
      <alignment horizontal="center" vertical="center"/>
    </xf>
    <xf numFmtId="0" fontId="12" fillId="36" borderId="114" xfId="0" applyFont="1" applyFill="1" applyBorder="1" applyAlignment="1">
      <alignment horizontal="center" vertical="center"/>
    </xf>
    <xf numFmtId="0" fontId="30" fillId="59" borderId="123" xfId="0" applyFont="1" applyFill="1" applyBorder="1" applyAlignment="1">
      <alignment horizontal="center" vertical="center"/>
    </xf>
    <xf numFmtId="3" fontId="30" fillId="4" borderId="134" xfId="0" applyNumberFormat="1" applyFont="1" applyFill="1" applyBorder="1" applyAlignment="1">
      <alignment horizontal="center" vertical="center"/>
    </xf>
    <xf numFmtId="3" fontId="30" fillId="4" borderId="121" xfId="0" applyNumberFormat="1" applyFont="1" applyFill="1" applyBorder="1" applyAlignment="1">
      <alignment horizontal="center" vertical="center"/>
    </xf>
    <xf numFmtId="0" fontId="12" fillId="0" borderId="75" xfId="0" applyFont="1" applyBorder="1" applyAlignment="1">
      <alignment horizontal="center" vertical="center" wrapText="1"/>
    </xf>
    <xf numFmtId="0" fontId="12" fillId="0" borderId="76" xfId="0" applyFont="1" applyBorder="1" applyAlignment="1">
      <alignment horizontal="center" vertical="center" wrapText="1"/>
    </xf>
    <xf numFmtId="0" fontId="12" fillId="0" borderId="74"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85" xfId="0" applyFont="1" applyBorder="1" applyAlignment="1">
      <alignment horizontal="center" vertical="center" wrapText="1"/>
    </xf>
    <xf numFmtId="3" fontId="12" fillId="39" borderId="59" xfId="0" applyNumberFormat="1" applyFont="1" applyFill="1" applyBorder="1" applyAlignment="1">
      <alignment horizontal="center" vertical="center"/>
    </xf>
    <xf numFmtId="3" fontId="12" fillId="39" borderId="61" xfId="0" applyNumberFormat="1" applyFont="1" applyFill="1" applyBorder="1" applyAlignment="1">
      <alignment horizontal="center" vertical="center"/>
    </xf>
    <xf numFmtId="3" fontId="12" fillId="39" borderId="63" xfId="0" applyNumberFormat="1" applyFont="1" applyFill="1" applyBorder="1" applyAlignment="1">
      <alignment horizontal="center" vertical="center"/>
    </xf>
    <xf numFmtId="3" fontId="12" fillId="39" borderId="81" xfId="0" applyNumberFormat="1" applyFont="1" applyFill="1" applyBorder="1" applyAlignment="1">
      <alignment horizontal="center" vertical="center"/>
    </xf>
    <xf numFmtId="3" fontId="12" fillId="39" borderId="88" xfId="0" applyNumberFormat="1" applyFont="1" applyFill="1" applyBorder="1" applyAlignment="1">
      <alignment horizontal="center" vertical="center"/>
    </xf>
    <xf numFmtId="0" fontId="70" fillId="61" borderId="34" xfId="110" applyFont="1" applyFill="1" applyBorder="1" applyAlignment="1">
      <alignment horizontal="center" vertical="center" wrapText="1"/>
    </xf>
    <xf numFmtId="0" fontId="30" fillId="65" borderId="114" xfId="0" applyFont="1" applyFill="1" applyBorder="1" applyAlignment="1">
      <alignment horizontal="center" vertical="center"/>
    </xf>
    <xf numFmtId="167" fontId="30" fillId="65" borderId="114" xfId="0" applyNumberFormat="1" applyFont="1" applyFill="1" applyBorder="1" applyAlignment="1">
      <alignment horizontal="center" vertical="center"/>
    </xf>
    <xf numFmtId="0" fontId="12" fillId="39" borderId="11" xfId="0" applyFont="1" applyFill="1" applyBorder="1" applyAlignment="1">
      <alignment horizontal="center" vertical="center"/>
    </xf>
    <xf numFmtId="0" fontId="0" fillId="4" borderId="0" xfId="0" applyFill="1" applyAlignment="1">
      <alignment vertical="center"/>
    </xf>
    <xf numFmtId="1" fontId="30" fillId="0" borderId="114" xfId="0" applyNumberFormat="1" applyFont="1" applyBorder="1" applyAlignment="1">
      <alignment horizontal="center" vertical="center"/>
    </xf>
    <xf numFmtId="167" fontId="30" fillId="0" borderId="114" xfId="0" applyNumberFormat="1" applyFont="1" applyBorder="1" applyAlignment="1">
      <alignment horizontal="center" vertical="center"/>
    </xf>
    <xf numFmtId="0" fontId="70" fillId="61" borderId="9" xfId="110" applyFont="1" applyFill="1" applyBorder="1" applyAlignment="1">
      <alignment horizontal="center" vertical="center" wrapText="1"/>
    </xf>
    <xf numFmtId="0" fontId="30" fillId="0" borderId="11" xfId="0" applyFont="1" applyBorder="1" applyAlignment="1">
      <alignment horizontal="center" vertical="center"/>
    </xf>
    <xf numFmtId="0" fontId="30" fillId="65" borderId="116" xfId="0" applyFont="1" applyFill="1" applyBorder="1" applyAlignment="1">
      <alignment vertical="center"/>
    </xf>
    <xf numFmtId="0" fontId="30" fillId="0" borderId="23" xfId="10" applyFont="1" applyBorder="1" applyAlignment="1">
      <alignment horizontal="center" vertical="center"/>
    </xf>
    <xf numFmtId="166" fontId="30" fillId="0" borderId="38" xfId="10" applyNumberFormat="1" applyFont="1" applyBorder="1" applyAlignment="1">
      <alignment horizontal="center" vertical="center"/>
    </xf>
    <xf numFmtId="0" fontId="12" fillId="0" borderId="77" xfId="0" applyFont="1" applyBorder="1" applyAlignment="1">
      <alignment horizontal="center" vertical="center"/>
    </xf>
    <xf numFmtId="3" fontId="12" fillId="0" borderId="78" xfId="0" applyNumberFormat="1" applyFont="1" applyBorder="1" applyAlignment="1">
      <alignment horizontal="center" vertical="center"/>
    </xf>
    <xf numFmtId="170" fontId="12" fillId="0" borderId="97" xfId="0" applyNumberFormat="1" applyFont="1" applyBorder="1" applyAlignment="1">
      <alignment horizontal="center" vertical="center"/>
    </xf>
    <xf numFmtId="3" fontId="12" fillId="42" borderId="62" xfId="0" applyNumberFormat="1" applyFont="1" applyFill="1" applyBorder="1" applyAlignment="1">
      <alignment horizontal="center" vertical="center"/>
    </xf>
    <xf numFmtId="3" fontId="51" fillId="36" borderId="126" xfId="0" applyNumberFormat="1" applyFont="1" applyFill="1" applyBorder="1" applyAlignment="1">
      <alignment horizontal="center" vertical="center" wrapText="1"/>
    </xf>
    <xf numFmtId="3" fontId="12" fillId="36" borderId="128" xfId="0" applyNumberFormat="1" applyFont="1" applyFill="1" applyBorder="1" applyAlignment="1">
      <alignment horizontal="center" vertical="center" wrapText="1"/>
    </xf>
    <xf numFmtId="0" fontId="70" fillId="61" borderId="9" xfId="0" applyFont="1" applyFill="1" applyBorder="1" applyAlignment="1">
      <alignment horizontal="center" vertical="center" wrapText="1"/>
    </xf>
    <xf numFmtId="0" fontId="70" fillId="61" borderId="16" xfId="0" applyFont="1" applyFill="1" applyBorder="1" applyAlignment="1">
      <alignment horizontal="center" vertical="center" wrapText="1"/>
    </xf>
    <xf numFmtId="0" fontId="30" fillId="4" borderId="0" xfId="0" applyFont="1" applyFill="1" applyAlignment="1">
      <alignment horizontal="center" vertical="center"/>
    </xf>
    <xf numFmtId="0" fontId="30" fillId="4" borderId="0" xfId="10" applyFont="1" applyFill="1" applyAlignment="1">
      <alignment horizontal="center" vertical="center"/>
    </xf>
    <xf numFmtId="166" fontId="30" fillId="4" borderId="0" xfId="10" applyNumberFormat="1" applyFont="1" applyFill="1" applyAlignment="1">
      <alignment horizontal="center" vertical="center"/>
    </xf>
    <xf numFmtId="176" fontId="30" fillId="0" borderId="0" xfId="110" applyNumberFormat="1" applyFont="1" applyAlignment="1">
      <alignment horizontal="center" vertical="center"/>
    </xf>
    <xf numFmtId="0" fontId="20" fillId="4" borderId="0" xfId="2" applyFill="1" applyBorder="1" applyAlignment="1" applyProtection="1">
      <alignment horizontal="center" vertical="center"/>
    </xf>
    <xf numFmtId="0" fontId="30" fillId="4" borderId="0" xfId="110" applyFont="1" applyFill="1" applyAlignment="1">
      <alignment horizontal="center" vertical="center"/>
    </xf>
    <xf numFmtId="176" fontId="30" fillId="4" borderId="51" xfId="110" applyNumberFormat="1" applyFont="1" applyFill="1" applyBorder="1" applyAlignment="1">
      <alignment horizontal="center" vertical="center"/>
    </xf>
    <xf numFmtId="2" fontId="30" fillId="4" borderId="0" xfId="110" applyNumberFormat="1" applyFont="1" applyFill="1" applyAlignment="1">
      <alignment horizontal="center" vertical="center"/>
    </xf>
    <xf numFmtId="0" fontId="70" fillId="61" borderId="67" xfId="0" applyFont="1" applyFill="1" applyBorder="1" applyAlignment="1">
      <alignment horizontal="center" vertical="center" wrapText="1"/>
    </xf>
    <xf numFmtId="0" fontId="70" fillId="61" borderId="67" xfId="110" applyFont="1" applyFill="1" applyBorder="1" applyAlignment="1">
      <alignment horizontal="center" vertical="center"/>
    </xf>
    <xf numFmtId="176" fontId="70" fillId="61" borderId="67" xfId="110" applyNumberFormat="1" applyFont="1" applyFill="1" applyBorder="1" applyAlignment="1">
      <alignment horizontal="center" vertical="center"/>
    </xf>
    <xf numFmtId="0" fontId="70" fillId="61" borderId="82" xfId="110" applyFont="1" applyFill="1" applyBorder="1" applyAlignment="1">
      <alignment horizontal="center" vertical="center"/>
    </xf>
    <xf numFmtId="0" fontId="0" fillId="65" borderId="91" xfId="0" applyFill="1" applyBorder="1"/>
    <xf numFmtId="0" fontId="30" fillId="39" borderId="123" xfId="110" applyFont="1" applyFill="1" applyBorder="1" applyAlignment="1">
      <alignment horizontal="center" vertical="center"/>
    </xf>
    <xf numFmtId="0" fontId="12" fillId="39" borderId="83" xfId="0" applyFont="1" applyFill="1" applyBorder="1" applyAlignment="1">
      <alignment horizontal="center" vertical="center" wrapText="1"/>
    </xf>
    <xf numFmtId="2" fontId="30" fillId="39" borderId="123" xfId="110" applyNumberFormat="1" applyFont="1" applyFill="1" applyBorder="1" applyAlignment="1">
      <alignment horizontal="center" vertical="center"/>
    </xf>
    <xf numFmtId="176" fontId="30" fillId="39" borderId="123" xfId="110" applyNumberFormat="1" applyFont="1" applyFill="1" applyBorder="1" applyAlignment="1">
      <alignment horizontal="center" vertical="center"/>
    </xf>
    <xf numFmtId="176" fontId="30" fillId="39" borderId="140" xfId="110" applyNumberFormat="1" applyFont="1" applyFill="1" applyBorder="1" applyAlignment="1">
      <alignment horizontal="center" vertical="center"/>
    </xf>
    <xf numFmtId="0" fontId="70" fillId="61" borderId="8" xfId="0" applyFont="1" applyFill="1" applyBorder="1" applyAlignment="1">
      <alignment horizontal="center" vertical="center"/>
    </xf>
    <xf numFmtId="0" fontId="0" fillId="65" borderId="72" xfId="0" applyFill="1" applyBorder="1"/>
    <xf numFmtId="0" fontId="0" fillId="65" borderId="49" xfId="0" applyFill="1" applyBorder="1"/>
    <xf numFmtId="9" fontId="30" fillId="40" borderId="22" xfId="3" applyFont="1" applyFill="1" applyBorder="1" applyAlignment="1">
      <alignment horizontal="center" vertical="center"/>
    </xf>
    <xf numFmtId="3" fontId="30" fillId="40" borderId="38" xfId="3" applyNumberFormat="1" applyFont="1" applyFill="1" applyBorder="1" applyAlignment="1">
      <alignment horizontal="center" vertical="center"/>
    </xf>
    <xf numFmtId="9" fontId="30" fillId="40" borderId="78" xfId="3" applyFont="1" applyFill="1" applyBorder="1" applyAlignment="1">
      <alignment horizontal="center" vertical="center"/>
    </xf>
    <xf numFmtId="9" fontId="30" fillId="40" borderId="60" xfId="3" applyFont="1" applyFill="1" applyBorder="1" applyAlignment="1">
      <alignment horizontal="center" vertical="center"/>
    </xf>
    <xf numFmtId="3" fontId="30" fillId="40" borderId="89" xfId="3" applyNumberFormat="1" applyFont="1" applyFill="1" applyBorder="1" applyAlignment="1">
      <alignment horizontal="center" vertical="center"/>
    </xf>
    <xf numFmtId="3" fontId="30" fillId="40" borderId="61" xfId="3" applyNumberFormat="1" applyFont="1" applyFill="1" applyBorder="1" applyAlignment="1">
      <alignment horizontal="center" vertical="center"/>
    </xf>
    <xf numFmtId="0" fontId="70" fillId="61" borderId="135" xfId="0" applyFont="1" applyFill="1" applyBorder="1" applyAlignment="1">
      <alignment horizontal="center" vertical="center" wrapText="1"/>
    </xf>
    <xf numFmtId="3" fontId="30" fillId="38" borderId="59" xfId="3" applyNumberFormat="1" applyFont="1" applyFill="1" applyBorder="1" applyAlignment="1">
      <alignment horizontal="center" vertical="center"/>
    </xf>
    <xf numFmtId="3" fontId="30" fillId="38" borderId="61" xfId="3" applyNumberFormat="1" applyFont="1" applyFill="1" applyBorder="1" applyAlignment="1">
      <alignment horizontal="center" vertical="center"/>
    </xf>
    <xf numFmtId="180" fontId="12" fillId="0" borderId="112" xfId="0" applyNumberFormat="1" applyFont="1" applyBorder="1" applyAlignment="1">
      <alignment horizontal="center" vertical="center"/>
    </xf>
    <xf numFmtId="175" fontId="12" fillId="0" borderId="115" xfId="0" applyNumberFormat="1" applyFont="1" applyBorder="1" applyAlignment="1">
      <alignment horizontal="center" vertical="center"/>
    </xf>
    <xf numFmtId="4" fontId="30" fillId="0" borderId="114" xfId="0" applyNumberFormat="1" applyFont="1" applyBorder="1" applyAlignment="1">
      <alignment horizontal="center" vertical="center"/>
    </xf>
    <xf numFmtId="0" fontId="21" fillId="4" borderId="0" xfId="0" applyFont="1" applyFill="1" applyAlignment="1">
      <alignment horizontal="left" vertical="top" wrapText="1"/>
    </xf>
    <xf numFmtId="0" fontId="0" fillId="4" borderId="0" xfId="0" applyFill="1" applyAlignment="1">
      <alignment horizontal="left" vertical="top" wrapText="1"/>
    </xf>
    <xf numFmtId="0" fontId="21" fillId="0" borderId="0" xfId="0" applyFont="1" applyAlignment="1">
      <alignment horizontal="left" vertical="top" wrapText="1"/>
    </xf>
    <xf numFmtId="0" fontId="0" fillId="0" borderId="0" xfId="0" applyAlignment="1">
      <alignment horizontal="left" vertical="top" wrapText="1"/>
    </xf>
    <xf numFmtId="0" fontId="70" fillId="73" borderId="23" xfId="0" applyFont="1" applyFill="1" applyBorder="1" applyAlignment="1">
      <alignment horizontal="center" vertical="center" wrapText="1"/>
    </xf>
    <xf numFmtId="0" fontId="70" fillId="73" borderId="24" xfId="0" applyFont="1" applyFill="1" applyBorder="1" applyAlignment="1">
      <alignment horizontal="center" vertical="center" wrapText="1"/>
    </xf>
    <xf numFmtId="4" fontId="70" fillId="73" borderId="16" xfId="0" applyNumberFormat="1" applyFont="1" applyFill="1" applyBorder="1" applyAlignment="1">
      <alignment horizontal="center" vertical="center" wrapText="1"/>
    </xf>
    <xf numFmtId="180" fontId="12" fillId="0" borderId="90" xfId="0" applyNumberFormat="1" applyFont="1" applyBorder="1" applyAlignment="1">
      <alignment horizontal="center" vertical="center"/>
    </xf>
    <xf numFmtId="180" fontId="12" fillId="0" borderId="84" xfId="0" applyNumberFormat="1" applyFont="1" applyBorder="1" applyAlignment="1">
      <alignment horizontal="center" vertical="center"/>
    </xf>
    <xf numFmtId="180" fontId="12" fillId="0" borderId="108" xfId="0" applyNumberFormat="1" applyFont="1" applyBorder="1" applyAlignment="1">
      <alignment horizontal="center" vertical="center"/>
    </xf>
    <xf numFmtId="4" fontId="30" fillId="0" borderId="147" xfId="0" applyNumberFormat="1" applyFont="1" applyBorder="1" applyAlignment="1">
      <alignment horizontal="center" vertical="center"/>
    </xf>
    <xf numFmtId="4" fontId="30" fillId="0" borderId="148" xfId="0" applyNumberFormat="1" applyFont="1" applyBorder="1" applyAlignment="1">
      <alignment horizontal="center" vertical="center"/>
    </xf>
    <xf numFmtId="170" fontId="12" fillId="4" borderId="116" xfId="0" applyNumberFormat="1" applyFont="1" applyFill="1" applyBorder="1" applyAlignment="1">
      <alignment horizontal="center" vertical="center"/>
    </xf>
    <xf numFmtId="0" fontId="70" fillId="61" borderId="59" xfId="0" applyFont="1" applyFill="1" applyBorder="1" applyAlignment="1">
      <alignment horizontal="center" vertical="center" wrapText="1"/>
    </xf>
    <xf numFmtId="3" fontId="30" fillId="38" borderId="7" xfId="3" applyNumberFormat="1" applyFont="1" applyFill="1" applyBorder="1" applyAlignment="1">
      <alignment horizontal="center" vertical="center"/>
    </xf>
    <xf numFmtId="9" fontId="30" fillId="41" borderId="113" xfId="3" applyFont="1" applyFill="1" applyBorder="1" applyAlignment="1">
      <alignment horizontal="center" vertical="center" wrapText="1"/>
    </xf>
    <xf numFmtId="9" fontId="30" fillId="40" borderId="113" xfId="3" applyFont="1" applyFill="1" applyBorder="1" applyAlignment="1">
      <alignment horizontal="center" vertical="center" wrapText="1"/>
    </xf>
    <xf numFmtId="169" fontId="30" fillId="0" borderId="51" xfId="0" applyNumberFormat="1" applyFont="1" applyBorder="1" applyAlignment="1">
      <alignment horizontal="center" vertical="center"/>
    </xf>
    <xf numFmtId="0" fontId="30" fillId="4" borderId="77" xfId="0" applyFont="1" applyFill="1" applyBorder="1" applyAlignment="1">
      <alignment horizontal="center" vertical="center"/>
    </xf>
    <xf numFmtId="0" fontId="30" fillId="0" borderId="78" xfId="110" applyFont="1" applyBorder="1" applyAlignment="1">
      <alignment horizontal="center" vertical="center" wrapText="1"/>
    </xf>
    <xf numFmtId="169" fontId="30" fillId="0" borderId="60" xfId="0" applyNumberFormat="1" applyFont="1" applyBorder="1" applyAlignment="1">
      <alignment horizontal="center" vertical="center"/>
    </xf>
    <xf numFmtId="0" fontId="30" fillId="4" borderId="89" xfId="0" applyFont="1" applyFill="1" applyBorder="1" applyAlignment="1">
      <alignment horizontal="center" vertical="center"/>
    </xf>
    <xf numFmtId="3" fontId="12" fillId="4" borderId="117" xfId="1" applyNumberFormat="1" applyFont="1" applyFill="1" applyBorder="1" applyAlignment="1">
      <alignment horizontal="center" vertical="center"/>
    </xf>
    <xf numFmtId="3" fontId="12" fillId="42" borderId="112" xfId="1" applyNumberFormat="1" applyFont="1" applyFill="1" applyBorder="1" applyAlignment="1">
      <alignment horizontal="center" vertical="center"/>
    </xf>
    <xf numFmtId="3" fontId="12" fillId="42" borderId="125" xfId="1" applyNumberFormat="1" applyFont="1" applyFill="1" applyBorder="1" applyAlignment="1">
      <alignment horizontal="center" vertical="center"/>
    </xf>
    <xf numFmtId="0" fontId="52" fillId="61" borderId="150" xfId="0" applyFont="1" applyFill="1" applyBorder="1" applyAlignment="1">
      <alignment horizontal="center" vertical="center"/>
    </xf>
    <xf numFmtId="173" fontId="12" fillId="4" borderId="10" xfId="0" applyNumberFormat="1" applyFont="1" applyFill="1" applyBorder="1" applyAlignment="1">
      <alignment horizontal="center" vertical="center"/>
    </xf>
    <xf numFmtId="173" fontId="12" fillId="4" borderId="114" xfId="0" applyNumberFormat="1" applyFont="1" applyFill="1" applyBorder="1" applyAlignment="1">
      <alignment horizontal="center"/>
    </xf>
    <xf numFmtId="173" fontId="12" fillId="4" borderId="67" xfId="0" applyNumberFormat="1" applyFont="1" applyFill="1" applyBorder="1" applyAlignment="1">
      <alignment horizontal="center"/>
    </xf>
    <xf numFmtId="173" fontId="12" fillId="4" borderId="117" xfId="0" applyNumberFormat="1" applyFont="1" applyFill="1" applyBorder="1" applyAlignment="1">
      <alignment horizontal="center"/>
    </xf>
    <xf numFmtId="173" fontId="12" fillId="4" borderId="111" xfId="0" applyNumberFormat="1" applyFont="1" applyFill="1" applyBorder="1" applyAlignment="1">
      <alignment horizontal="center"/>
    </xf>
    <xf numFmtId="173" fontId="12" fillId="4" borderId="50" xfId="0" applyNumberFormat="1" applyFont="1" applyFill="1" applyBorder="1" applyAlignment="1">
      <alignment horizontal="center"/>
    </xf>
    <xf numFmtId="173" fontId="12" fillId="4" borderId="11" xfId="0" applyNumberFormat="1" applyFont="1" applyFill="1" applyBorder="1" applyAlignment="1">
      <alignment horizontal="center"/>
    </xf>
    <xf numFmtId="3" fontId="12" fillId="42" borderId="120" xfId="1" applyNumberFormat="1" applyFont="1" applyFill="1" applyBorder="1" applyAlignment="1">
      <alignment horizontal="center" vertical="center"/>
    </xf>
    <xf numFmtId="0" fontId="12" fillId="0" borderId="152" xfId="0" applyFont="1" applyBorder="1" applyAlignment="1">
      <alignment horizontal="center" vertical="center"/>
    </xf>
    <xf numFmtId="0" fontId="12" fillId="0" borderId="151" xfId="0" applyFont="1" applyBorder="1" applyAlignment="1">
      <alignment horizontal="center" vertical="center"/>
    </xf>
    <xf numFmtId="3" fontId="15" fillId="4" borderId="36" xfId="0" applyNumberFormat="1" applyFont="1" applyFill="1" applyBorder="1" applyAlignment="1">
      <alignment horizontal="center" vertical="center"/>
    </xf>
    <xf numFmtId="3" fontId="15" fillId="4" borderId="2" xfId="0" applyNumberFormat="1" applyFont="1" applyFill="1" applyBorder="1" applyAlignment="1">
      <alignment horizontal="center" vertical="center"/>
    </xf>
    <xf numFmtId="1" fontId="30" fillId="0" borderId="71" xfId="0" applyNumberFormat="1" applyFont="1" applyBorder="1" applyAlignment="1">
      <alignment horizontal="center" vertical="center"/>
    </xf>
    <xf numFmtId="1" fontId="30" fillId="0" borderId="76" xfId="0" applyNumberFormat="1" applyFont="1" applyBorder="1" applyAlignment="1">
      <alignment horizontal="center" vertical="center"/>
    </xf>
    <xf numFmtId="0" fontId="70" fillId="61" borderId="135" xfId="10" applyFont="1" applyFill="1" applyBorder="1" applyAlignment="1">
      <alignment horizontal="center" wrapText="1"/>
    </xf>
    <xf numFmtId="1" fontId="30" fillId="4" borderId="135" xfId="10" applyNumberFormat="1" applyFont="1" applyFill="1" applyBorder="1" applyAlignment="1">
      <alignment horizontal="center"/>
    </xf>
    <xf numFmtId="0" fontId="70" fillId="61" borderId="69" xfId="110" applyFont="1" applyFill="1" applyBorder="1" applyAlignment="1">
      <alignment horizontal="center" vertical="center" wrapText="1"/>
    </xf>
    <xf numFmtId="186" fontId="30" fillId="0" borderId="110" xfId="110" applyNumberFormat="1" applyFont="1" applyBorder="1" applyAlignment="1">
      <alignment horizontal="center" vertical="center" wrapText="1"/>
    </xf>
    <xf numFmtId="186" fontId="30" fillId="0" borderId="84" xfId="110" applyNumberFormat="1" applyFont="1" applyBorder="1" applyAlignment="1">
      <alignment horizontal="center" vertical="center" wrapText="1"/>
    </xf>
    <xf numFmtId="186" fontId="30" fillId="0" borderId="79" xfId="110" applyNumberFormat="1" applyFont="1" applyBorder="1" applyAlignment="1">
      <alignment horizontal="center" vertical="center" wrapText="1"/>
    </xf>
    <xf numFmtId="178" fontId="30" fillId="0" borderId="76" xfId="110" applyNumberFormat="1" applyFont="1" applyBorder="1" applyAlignment="1">
      <alignment horizontal="center" vertical="center" wrapText="1"/>
    </xf>
    <xf numFmtId="1" fontId="30" fillId="4" borderId="127" xfId="10" applyNumberFormat="1" applyFont="1" applyFill="1" applyBorder="1" applyAlignment="1">
      <alignment horizontal="center"/>
    </xf>
    <xf numFmtId="0" fontId="70" fillId="61" borderId="13" xfId="110" applyFont="1" applyFill="1" applyBorder="1" applyAlignment="1">
      <alignment horizontal="center" vertical="center" wrapText="1"/>
    </xf>
    <xf numFmtId="0" fontId="70" fillId="61" borderId="59" xfId="10" applyFont="1" applyFill="1" applyBorder="1" applyAlignment="1">
      <alignment horizontal="center" wrapText="1"/>
    </xf>
    <xf numFmtId="178" fontId="30" fillId="0" borderId="77" xfId="110" applyNumberFormat="1" applyFont="1" applyBorder="1" applyAlignment="1">
      <alignment horizontal="center" vertical="center" wrapText="1"/>
    </xf>
    <xf numFmtId="1" fontId="30" fillId="4" borderId="129" xfId="10" applyNumberFormat="1" applyFont="1" applyFill="1" applyBorder="1" applyAlignment="1">
      <alignment horizontal="center"/>
    </xf>
    <xf numFmtId="178" fontId="47" fillId="0" borderId="113" xfId="110" applyNumberFormat="1" applyFont="1" applyBorder="1" applyAlignment="1">
      <alignment horizontal="center" vertical="center" wrapText="1"/>
    </xf>
    <xf numFmtId="1" fontId="47" fillId="4" borderId="131" xfId="10" applyNumberFormat="1" applyFont="1" applyFill="1" applyBorder="1" applyAlignment="1">
      <alignment horizontal="center"/>
    </xf>
    <xf numFmtId="178" fontId="47" fillId="0" borderId="48" xfId="110" applyNumberFormat="1" applyFont="1" applyBorder="1" applyAlignment="1">
      <alignment horizontal="center" vertical="center" wrapText="1"/>
    </xf>
    <xf numFmtId="1" fontId="47" fillId="4" borderId="52" xfId="10" applyNumberFormat="1" applyFont="1" applyFill="1" applyBorder="1" applyAlignment="1">
      <alignment horizontal="center"/>
    </xf>
    <xf numFmtId="0" fontId="71" fillId="0" borderId="0" xfId="0" applyFont="1" applyAlignment="1">
      <alignment wrapText="1"/>
    </xf>
    <xf numFmtId="0" fontId="30" fillId="0" borderId="11" xfId="110" applyFont="1" applyBorder="1" applyAlignment="1">
      <alignment horizontal="center" vertical="center" wrapText="1"/>
    </xf>
    <xf numFmtId="166" fontId="30" fillId="0" borderId="66" xfId="110" applyNumberFormat="1" applyFont="1" applyBorder="1" applyAlignment="1">
      <alignment horizontal="center" vertical="center" wrapText="1"/>
    </xf>
    <xf numFmtId="166" fontId="30" fillId="0" borderId="77" xfId="110" applyNumberFormat="1" applyFont="1" applyBorder="1" applyAlignment="1">
      <alignment horizontal="center" vertical="center" wrapText="1"/>
    </xf>
    <xf numFmtId="0" fontId="12" fillId="0" borderId="11" xfId="0" applyFont="1" applyBorder="1" applyAlignment="1">
      <alignment horizontal="center" vertical="center" wrapText="1"/>
    </xf>
    <xf numFmtId="3" fontId="51" fillId="74" borderId="72" xfId="0" applyNumberFormat="1" applyFont="1" applyFill="1" applyBorder="1" applyAlignment="1">
      <alignment horizontal="center" vertical="center" wrapText="1"/>
    </xf>
    <xf numFmtId="3" fontId="12" fillId="74" borderId="62" xfId="0" applyNumberFormat="1" applyFont="1" applyFill="1" applyBorder="1" applyAlignment="1">
      <alignment horizontal="center" vertical="center" wrapText="1"/>
    </xf>
    <xf numFmtId="0" fontId="12" fillId="74" borderId="113" xfId="0" applyFont="1" applyFill="1" applyBorder="1" applyAlignment="1">
      <alignment horizontal="center" vertical="center"/>
    </xf>
    <xf numFmtId="0" fontId="12" fillId="74" borderId="112" xfId="0" applyFont="1" applyFill="1" applyBorder="1" applyAlignment="1">
      <alignment horizontal="center" vertical="center"/>
    </xf>
    <xf numFmtId="0" fontId="12" fillId="74" borderId="114" xfId="0" applyFont="1" applyFill="1" applyBorder="1" applyAlignment="1">
      <alignment horizontal="center" vertical="center"/>
    </xf>
    <xf numFmtId="3" fontId="93" fillId="74" borderId="114" xfId="0" applyNumberFormat="1" applyFont="1" applyFill="1" applyBorder="1" applyAlignment="1">
      <alignment horizontal="center" vertical="center"/>
    </xf>
    <xf numFmtId="0" fontId="93" fillId="74" borderId="114" xfId="0" applyFont="1" applyFill="1" applyBorder="1" applyAlignment="1">
      <alignment horizontal="center" vertical="center"/>
    </xf>
    <xf numFmtId="3" fontId="93" fillId="74" borderId="72" xfId="0" applyNumberFormat="1" applyFont="1" applyFill="1" applyBorder="1" applyAlignment="1">
      <alignment horizontal="center" vertical="center"/>
    </xf>
    <xf numFmtId="0" fontId="93" fillId="74" borderId="60" xfId="0" applyFont="1" applyFill="1" applyBorder="1" applyAlignment="1">
      <alignment horizontal="center" vertical="center"/>
    </xf>
    <xf numFmtId="0" fontId="93" fillId="74" borderId="86" xfId="0" applyFont="1" applyFill="1" applyBorder="1" applyAlignment="1">
      <alignment horizontal="center" vertical="center"/>
    </xf>
    <xf numFmtId="0" fontId="12" fillId="36" borderId="113" xfId="0" applyFont="1" applyFill="1" applyBorder="1" applyAlignment="1">
      <alignment horizontal="center" vertical="center"/>
    </xf>
    <xf numFmtId="0" fontId="12" fillId="36" borderId="112" xfId="0" applyFont="1" applyFill="1" applyBorder="1" applyAlignment="1">
      <alignment horizontal="center" vertical="center"/>
    </xf>
    <xf numFmtId="0" fontId="12" fillId="36" borderId="11" xfId="0" applyFont="1" applyFill="1" applyBorder="1" applyAlignment="1">
      <alignment horizontal="center" vertical="center"/>
    </xf>
    <xf numFmtId="0" fontId="12" fillId="0" borderId="0" xfId="0" applyFont="1" applyAlignment="1">
      <alignment horizontal="center" vertical="center"/>
    </xf>
    <xf numFmtId="3" fontId="30" fillId="40" borderId="114" xfId="3" applyNumberFormat="1" applyFont="1" applyFill="1" applyBorder="1" applyAlignment="1">
      <alignment horizontal="center" vertical="center"/>
    </xf>
    <xf numFmtId="3" fontId="30" fillId="41" borderId="114" xfId="3" applyNumberFormat="1" applyFont="1" applyFill="1" applyBorder="1" applyAlignment="1">
      <alignment horizontal="center" vertical="center"/>
    </xf>
    <xf numFmtId="166" fontId="12" fillId="39" borderId="114" xfId="19" applyNumberFormat="1" applyFill="1" applyBorder="1" applyAlignment="1">
      <alignment horizontal="center" vertical="center" wrapText="1"/>
    </xf>
    <xf numFmtId="3" fontId="12" fillId="39" borderId="118" xfId="19" applyNumberFormat="1" applyFill="1" applyBorder="1" applyAlignment="1">
      <alignment horizontal="center" vertical="center" wrapText="1"/>
    </xf>
    <xf numFmtId="0" fontId="12" fillId="0" borderId="72" xfId="0" applyFont="1" applyBorder="1" applyAlignment="1">
      <alignment horizontal="center" vertical="center"/>
    </xf>
    <xf numFmtId="0" fontId="12" fillId="0" borderId="60" xfId="0" applyFont="1" applyBorder="1" applyAlignment="1">
      <alignment horizontal="center" vertical="center"/>
    </xf>
    <xf numFmtId="2" fontId="12" fillId="0" borderId="60" xfId="0" applyNumberFormat="1" applyFont="1" applyBorder="1" applyAlignment="1">
      <alignment horizontal="center" vertical="center"/>
    </xf>
    <xf numFmtId="169" fontId="12" fillId="0" borderId="60" xfId="0" applyNumberFormat="1" applyFont="1" applyBorder="1" applyAlignment="1">
      <alignment horizontal="center" vertical="center"/>
    </xf>
    <xf numFmtId="167" fontId="12" fillId="0" borderId="60" xfId="0" applyNumberFormat="1" applyFont="1" applyBorder="1" applyAlignment="1">
      <alignment horizontal="center" vertical="center"/>
    </xf>
    <xf numFmtId="179" fontId="12" fillId="0" borderId="22" xfId="0" applyNumberFormat="1" applyFont="1" applyBorder="1" applyAlignment="1">
      <alignment horizontal="center" vertical="center"/>
    </xf>
    <xf numFmtId="169" fontId="12" fillId="0" borderId="112" xfId="0" applyNumberFormat="1" applyFont="1" applyBorder="1" applyAlignment="1">
      <alignment horizontal="center" vertical="center"/>
    </xf>
    <xf numFmtId="0" fontId="12" fillId="4" borderId="114" xfId="0" applyFont="1" applyFill="1" applyBorder="1" applyAlignment="1">
      <alignment horizontal="center" vertical="center" wrapText="1"/>
    </xf>
    <xf numFmtId="3" fontId="12" fillId="0" borderId="0" xfId="0" applyNumberFormat="1" applyFont="1"/>
    <xf numFmtId="3" fontId="12" fillId="4" borderId="0" xfId="0" applyNumberFormat="1" applyFont="1" applyFill="1"/>
    <xf numFmtId="1" fontId="12" fillId="0" borderId="113" xfId="0" applyNumberFormat="1" applyFont="1" applyBorder="1" applyAlignment="1">
      <alignment horizontal="center" vertical="center"/>
    </xf>
    <xf numFmtId="0" fontId="12" fillId="4" borderId="114" xfId="0" applyFont="1" applyFill="1" applyBorder="1" applyAlignment="1">
      <alignment horizontal="center" vertical="center"/>
    </xf>
    <xf numFmtId="1" fontId="12" fillId="0" borderId="66" xfId="0" applyNumberFormat="1" applyFont="1" applyBorder="1" applyAlignment="1">
      <alignment horizontal="center" vertical="center"/>
    </xf>
    <xf numFmtId="49" fontId="12" fillId="0" borderId="118" xfId="0" applyNumberFormat="1" applyFont="1" applyBorder="1" applyAlignment="1">
      <alignment horizontal="center" vertical="center"/>
    </xf>
    <xf numFmtId="3" fontId="0" fillId="0" borderId="116" xfId="0" applyNumberFormat="1" applyBorder="1" applyAlignment="1">
      <alignment horizontal="center" vertical="center"/>
    </xf>
    <xf numFmtId="170" fontId="15" fillId="0" borderId="116" xfId="0" applyNumberFormat="1" applyFont="1" applyBorder="1" applyAlignment="1">
      <alignment horizontal="center" vertical="center"/>
    </xf>
    <xf numFmtId="184" fontId="12" fillId="4" borderId="0" xfId="0" applyNumberFormat="1" applyFont="1" applyFill="1"/>
    <xf numFmtId="2" fontId="0" fillId="0" borderId="112" xfId="0" applyNumberFormat="1" applyBorder="1" applyAlignment="1">
      <alignment horizontal="center" vertical="center"/>
    </xf>
    <xf numFmtId="3" fontId="12" fillId="4" borderId="112" xfId="0" applyNumberFormat="1" applyFont="1" applyFill="1" applyBorder="1" applyAlignment="1">
      <alignment horizontal="center" vertical="center"/>
    </xf>
    <xf numFmtId="3" fontId="12" fillId="59" borderId="112" xfId="0" applyNumberFormat="1" applyFont="1" applyFill="1" applyBorder="1" applyAlignment="1">
      <alignment horizontal="center" vertical="center"/>
    </xf>
    <xf numFmtId="4" fontId="12" fillId="0" borderId="115" xfId="0" applyNumberFormat="1" applyFont="1" applyBorder="1" applyAlignment="1">
      <alignment horizontal="center" vertical="center"/>
    </xf>
    <xf numFmtId="3" fontId="12" fillId="0" borderId="115" xfId="0" applyNumberFormat="1" applyFont="1" applyBorder="1" applyAlignment="1">
      <alignment horizontal="center" vertical="center"/>
    </xf>
    <xf numFmtId="4" fontId="12" fillId="0" borderId="114" xfId="0" applyNumberFormat="1" applyFont="1" applyBorder="1" applyAlignment="1">
      <alignment horizontal="center" vertical="center"/>
    </xf>
    <xf numFmtId="3" fontId="12" fillId="0" borderId="120" xfId="0" applyNumberFormat="1" applyFont="1" applyBorder="1" applyAlignment="1">
      <alignment horizontal="center" vertical="center"/>
    </xf>
    <xf numFmtId="4" fontId="12" fillId="0" borderId="116" xfId="0" applyNumberFormat="1" applyFont="1" applyBorder="1" applyAlignment="1">
      <alignment horizontal="center" vertical="center"/>
    </xf>
    <xf numFmtId="3" fontId="12" fillId="0" borderId="116" xfId="0" applyNumberFormat="1" applyFont="1" applyBorder="1" applyAlignment="1">
      <alignment horizontal="center" vertical="center"/>
    </xf>
    <xf numFmtId="4" fontId="30" fillId="0" borderId="116" xfId="0" applyNumberFormat="1" applyFont="1" applyBorder="1" applyAlignment="1">
      <alignment horizontal="center" vertical="center"/>
    </xf>
    <xf numFmtId="3" fontId="30" fillId="0" borderId="116" xfId="0" applyNumberFormat="1" applyFont="1" applyBorder="1" applyAlignment="1">
      <alignment horizontal="center" vertical="center"/>
    </xf>
    <xf numFmtId="9" fontId="12" fillId="4" borderId="0" xfId="0" applyNumberFormat="1" applyFont="1" applyFill="1" applyAlignment="1">
      <alignment vertical="top" wrapText="1"/>
    </xf>
    <xf numFmtId="0" fontId="15" fillId="4" borderId="118" xfId="0" applyFont="1" applyFill="1" applyBorder="1" applyAlignment="1">
      <alignment horizontal="center" vertical="center" wrapText="1"/>
    </xf>
    <xf numFmtId="166" fontId="12" fillId="4" borderId="0" xfId="0" applyNumberFormat="1" applyFont="1" applyFill="1"/>
    <xf numFmtId="43" fontId="12" fillId="4" borderId="0" xfId="0" applyNumberFormat="1" applyFont="1" applyFill="1"/>
    <xf numFmtId="0" fontId="12" fillId="4" borderId="0" xfId="0" applyFont="1" applyFill="1" applyAlignment="1">
      <alignment horizontal="right"/>
    </xf>
    <xf numFmtId="0" fontId="12" fillId="0" borderId="114" xfId="0" applyFont="1" applyBorder="1" applyAlignment="1">
      <alignment horizontal="center" vertical="center" wrapText="1"/>
    </xf>
    <xf numFmtId="2" fontId="12" fillId="0" borderId="116" xfId="0" applyNumberFormat="1" applyFont="1" applyBorder="1" applyAlignment="1">
      <alignment horizontal="center" vertical="center"/>
    </xf>
    <xf numFmtId="3" fontId="12" fillId="4" borderId="114" xfId="0" applyNumberFormat="1" applyFont="1" applyFill="1" applyBorder="1" applyAlignment="1">
      <alignment horizontal="center" vertical="center"/>
    </xf>
    <xf numFmtId="170" fontId="12" fillId="4" borderId="0" xfId="0" applyNumberFormat="1" applyFont="1" applyFill="1"/>
    <xf numFmtId="165" fontId="70" fillId="61" borderId="117" xfId="0" applyNumberFormat="1" applyFont="1" applyFill="1" applyBorder="1" applyAlignment="1">
      <alignment horizontal="center" vertical="center" wrapText="1"/>
    </xf>
    <xf numFmtId="165" fontId="70" fillId="61" borderId="112" xfId="0" applyNumberFormat="1" applyFont="1" applyFill="1" applyBorder="1" applyAlignment="1">
      <alignment horizontal="center" vertical="center" wrapText="1"/>
    </xf>
    <xf numFmtId="0" fontId="47" fillId="4" borderId="117" xfId="0" applyFont="1" applyFill="1" applyBorder="1" applyAlignment="1">
      <alignment horizontal="center" vertical="center"/>
    </xf>
    <xf numFmtId="174" fontId="47" fillId="0" borderId="112" xfId="0" applyNumberFormat="1" applyFont="1" applyBorder="1" applyAlignment="1">
      <alignment horizontal="center" vertical="center" wrapText="1"/>
    </xf>
    <xf numFmtId="165" fontId="47" fillId="59" borderId="112" xfId="0" applyNumberFormat="1" applyFont="1" applyFill="1" applyBorder="1" applyAlignment="1">
      <alignment horizontal="center" vertical="center" wrapText="1"/>
    </xf>
    <xf numFmtId="9" fontId="12" fillId="4" borderId="0" xfId="0" applyNumberFormat="1" applyFont="1" applyFill="1"/>
    <xf numFmtId="0" fontId="47" fillId="4" borderId="112" xfId="0" applyFont="1" applyFill="1" applyBorder="1" applyAlignment="1">
      <alignment horizontal="center" vertical="center"/>
    </xf>
    <xf numFmtId="0" fontId="12" fillId="59" borderId="112" xfId="0" applyFont="1" applyFill="1" applyBorder="1" applyAlignment="1">
      <alignment horizontal="center" vertical="center"/>
    </xf>
    <xf numFmtId="3" fontId="12" fillId="0" borderId="112" xfId="3" applyNumberFormat="1" applyFont="1" applyFill="1" applyBorder="1" applyAlignment="1">
      <alignment horizontal="center"/>
    </xf>
    <xf numFmtId="170" fontId="12" fillId="0" borderId="112" xfId="3" applyNumberFormat="1" applyFont="1" applyFill="1" applyBorder="1" applyAlignment="1">
      <alignment horizontal="center"/>
    </xf>
    <xf numFmtId="180" fontId="12" fillId="0" borderId="114" xfId="0" applyNumberFormat="1" applyFont="1" applyBorder="1" applyAlignment="1">
      <alignment horizontal="center" vertical="center"/>
    </xf>
    <xf numFmtId="165" fontId="47" fillId="59" borderId="114" xfId="0" applyNumberFormat="1" applyFont="1" applyFill="1" applyBorder="1" applyAlignment="1">
      <alignment horizontal="center" vertical="center" wrapText="1"/>
    </xf>
    <xf numFmtId="0" fontId="12" fillId="4" borderId="117" xfId="0" applyFont="1" applyFill="1" applyBorder="1" applyAlignment="1">
      <alignment horizontal="center" vertical="center"/>
    </xf>
    <xf numFmtId="3" fontId="12" fillId="42" borderId="114" xfId="0" applyNumberFormat="1" applyFont="1" applyFill="1" applyBorder="1" applyAlignment="1">
      <alignment horizontal="center" vertical="center"/>
    </xf>
    <xf numFmtId="9" fontId="12" fillId="42" borderId="114" xfId="0" applyNumberFormat="1" applyFont="1" applyFill="1" applyBorder="1" applyAlignment="1">
      <alignment horizontal="center" vertical="center"/>
    </xf>
    <xf numFmtId="3" fontId="12" fillId="0" borderId="53" xfId="0" applyNumberFormat="1" applyFont="1" applyBorder="1" applyAlignment="1">
      <alignment horizontal="center" vertical="center"/>
    </xf>
    <xf numFmtId="9" fontId="12" fillId="39" borderId="153" xfId="0" applyNumberFormat="1" applyFont="1" applyFill="1" applyBorder="1" applyAlignment="1">
      <alignment horizontal="center" vertical="center" wrapText="1"/>
    </xf>
    <xf numFmtId="3" fontId="15" fillId="4" borderId="154" xfId="0" applyNumberFormat="1" applyFont="1" applyFill="1" applyBorder="1" applyAlignment="1">
      <alignment horizontal="center" vertical="center" wrapText="1"/>
    </xf>
    <xf numFmtId="3" fontId="15" fillId="4" borderId="153" xfId="0" applyNumberFormat="1" applyFont="1" applyFill="1" applyBorder="1" applyAlignment="1">
      <alignment horizontal="center" vertical="center" wrapText="1"/>
    </xf>
    <xf numFmtId="0" fontId="15" fillId="67" borderId="155" xfId="0" applyFont="1" applyFill="1" applyBorder="1" applyAlignment="1">
      <alignment horizontal="center" vertical="center" wrapText="1"/>
    </xf>
    <xf numFmtId="3" fontId="15" fillId="0" borderId="154" xfId="0" applyNumberFormat="1" applyFont="1" applyBorder="1" applyAlignment="1">
      <alignment horizontal="center" vertical="center" wrapText="1"/>
    </xf>
    <xf numFmtId="0" fontId="12" fillId="36" borderId="154" xfId="0" applyFont="1" applyFill="1" applyBorder="1" applyAlignment="1">
      <alignment horizontal="center" vertical="center"/>
    </xf>
    <xf numFmtId="0" fontId="12" fillId="36" borderId="153" xfId="0" applyFont="1" applyFill="1" applyBorder="1" applyAlignment="1">
      <alignment horizontal="center" vertical="center"/>
    </xf>
    <xf numFmtId="0" fontId="93" fillId="74" borderId="153" xfId="0" applyFont="1" applyFill="1" applyBorder="1" applyAlignment="1">
      <alignment horizontal="center" vertical="center"/>
    </xf>
    <xf numFmtId="166" fontId="30" fillId="36" borderId="153" xfId="0" applyNumberFormat="1" applyFont="1" applyFill="1" applyBorder="1" applyAlignment="1">
      <alignment horizontal="center" vertical="center"/>
    </xf>
    <xf numFmtId="3" fontId="12" fillId="36" borderId="153" xfId="15" applyNumberFormat="1" applyFont="1" applyFill="1" applyBorder="1" applyAlignment="1">
      <alignment horizontal="center" vertical="center"/>
    </xf>
    <xf numFmtId="37" fontId="15" fillId="0" borderId="154" xfId="1" applyNumberFormat="1" applyFont="1" applyFill="1" applyBorder="1" applyAlignment="1">
      <alignment horizontal="center" vertical="center"/>
    </xf>
    <xf numFmtId="37" fontId="15" fillId="0" borderId="153" xfId="1" applyNumberFormat="1" applyFont="1" applyFill="1" applyBorder="1" applyAlignment="1">
      <alignment horizontal="center" vertical="center"/>
    </xf>
    <xf numFmtId="0" fontId="12" fillId="39" borderId="153" xfId="0" applyFont="1" applyFill="1" applyBorder="1" applyAlignment="1">
      <alignment horizontal="center" vertical="center"/>
    </xf>
    <xf numFmtId="3" fontId="47" fillId="35" borderId="154" xfId="3" applyNumberFormat="1" applyFont="1" applyFill="1" applyBorder="1" applyAlignment="1">
      <alignment horizontal="center" vertical="center"/>
    </xf>
    <xf numFmtId="3" fontId="47" fillId="35" borderId="153" xfId="3" applyNumberFormat="1" applyFont="1" applyFill="1" applyBorder="1" applyAlignment="1">
      <alignment horizontal="center" vertical="center"/>
    </xf>
    <xf numFmtId="0" fontId="12" fillId="39" borderId="154" xfId="19" applyFill="1" applyBorder="1" applyAlignment="1">
      <alignment horizontal="center" vertical="center" wrapText="1"/>
    </xf>
    <xf numFmtId="37" fontId="12" fillId="39" borderId="153" xfId="19" applyNumberFormat="1" applyFill="1" applyBorder="1" applyAlignment="1">
      <alignment horizontal="center" vertical="center" wrapText="1"/>
    </xf>
    <xf numFmtId="0" fontId="12" fillId="41" borderId="154" xfId="19" applyFill="1" applyBorder="1" applyAlignment="1">
      <alignment horizontal="center" wrapText="1"/>
    </xf>
    <xf numFmtId="0" fontId="12" fillId="41" borderId="154" xfId="19" applyFill="1" applyBorder="1" applyAlignment="1">
      <alignment horizontal="center" vertical="center" wrapText="1"/>
    </xf>
    <xf numFmtId="37" fontId="12" fillId="37" borderId="153" xfId="15" applyNumberFormat="1" applyFont="1" applyFill="1" applyBorder="1" applyAlignment="1">
      <alignment horizontal="center" vertical="center" wrapText="1"/>
    </xf>
    <xf numFmtId="3" fontId="12" fillId="41" borderId="154" xfId="19" applyNumberFormat="1" applyFill="1" applyBorder="1" applyAlignment="1">
      <alignment horizontal="center" vertical="center" wrapText="1"/>
    </xf>
    <xf numFmtId="3" fontId="12" fillId="70" borderId="154" xfId="19" applyNumberFormat="1" applyFill="1" applyBorder="1" applyAlignment="1">
      <alignment horizontal="center" vertical="center" wrapText="1"/>
    </xf>
    <xf numFmtId="170" fontId="12" fillId="37" borderId="154" xfId="15" applyNumberFormat="1" applyFont="1" applyFill="1" applyBorder="1" applyAlignment="1">
      <alignment horizontal="center" vertical="center" wrapText="1"/>
    </xf>
    <xf numFmtId="3" fontId="12" fillId="37" borderId="153" xfId="15" applyNumberFormat="1" applyFont="1" applyFill="1" applyBorder="1" applyAlignment="1">
      <alignment horizontal="center" vertical="center" wrapText="1"/>
    </xf>
    <xf numFmtId="3" fontId="12" fillId="39" borderId="154" xfId="19" applyNumberFormat="1" applyFill="1" applyBorder="1" applyAlignment="1">
      <alignment horizontal="center" vertical="center" wrapText="1"/>
    </xf>
    <xf numFmtId="166" fontId="12" fillId="39" borderId="153" xfId="19" applyNumberFormat="1" applyFill="1" applyBorder="1" applyAlignment="1">
      <alignment horizontal="center" vertical="center" wrapText="1"/>
    </xf>
    <xf numFmtId="166" fontId="12" fillId="35" borderId="153" xfId="19" applyNumberFormat="1" applyFill="1" applyBorder="1" applyAlignment="1">
      <alignment horizontal="center" wrapText="1"/>
    </xf>
    <xf numFmtId="9" fontId="47" fillId="35" borderId="153" xfId="3" applyFont="1" applyFill="1" applyBorder="1" applyAlignment="1">
      <alignment horizontal="center" vertical="center"/>
    </xf>
    <xf numFmtId="169" fontId="12" fillId="0" borderId="154" xfId="0" applyNumberFormat="1" applyFont="1" applyBorder="1" applyAlignment="1">
      <alignment horizontal="center" vertical="center"/>
    </xf>
    <xf numFmtId="0" fontId="12" fillId="4" borderId="153" xfId="0" applyFont="1" applyFill="1" applyBorder="1" applyAlignment="1">
      <alignment horizontal="center" vertical="center" wrapText="1"/>
    </xf>
    <xf numFmtId="1" fontId="47" fillId="0" borderId="154" xfId="0" applyNumberFormat="1" applyFont="1" applyBorder="1" applyAlignment="1">
      <alignment horizontal="center" vertical="center"/>
    </xf>
    <xf numFmtId="1" fontId="47" fillId="0" borderId="153" xfId="0" applyNumberFormat="1" applyFont="1" applyBorder="1" applyAlignment="1">
      <alignment horizontal="center" vertical="center"/>
    </xf>
    <xf numFmtId="1" fontId="30" fillId="0" borderId="154" xfId="0" applyNumberFormat="1" applyFont="1" applyBorder="1" applyAlignment="1">
      <alignment horizontal="center" vertical="center"/>
    </xf>
    <xf numFmtId="167" fontId="30" fillId="0" borderId="154" xfId="0" applyNumberFormat="1" applyFont="1" applyBorder="1" applyAlignment="1">
      <alignment horizontal="center" vertical="center"/>
    </xf>
    <xf numFmtId="169" fontId="30" fillId="0" borderId="154" xfId="0" applyNumberFormat="1" applyFont="1" applyBorder="1" applyAlignment="1">
      <alignment horizontal="center" vertical="center"/>
    </xf>
    <xf numFmtId="166" fontId="47" fillId="0" borderId="154" xfId="0" applyNumberFormat="1" applyFont="1" applyBorder="1" applyAlignment="1">
      <alignment horizontal="center" vertical="center"/>
    </xf>
    <xf numFmtId="179" fontId="30" fillId="0" borderId="154" xfId="110" applyNumberFormat="1" applyFont="1" applyBorder="1" applyAlignment="1">
      <alignment horizontal="center" vertical="center" wrapText="1"/>
    </xf>
    <xf numFmtId="181" fontId="30" fillId="0" borderId="154" xfId="110" applyNumberFormat="1" applyFont="1" applyBorder="1" applyAlignment="1">
      <alignment horizontal="center" vertical="center" wrapText="1"/>
    </xf>
    <xf numFmtId="178" fontId="30" fillId="0" borderId="153" xfId="110" applyNumberFormat="1" applyFont="1" applyBorder="1" applyAlignment="1">
      <alignment horizontal="center" vertical="center" wrapText="1"/>
    </xf>
    <xf numFmtId="182" fontId="47" fillId="0" borderId="154" xfId="110" applyNumberFormat="1" applyFont="1" applyBorder="1" applyAlignment="1">
      <alignment horizontal="center" vertical="center" wrapText="1"/>
    </xf>
    <xf numFmtId="187" fontId="47" fillId="0" borderId="153" xfId="110" applyNumberFormat="1" applyFont="1" applyBorder="1" applyAlignment="1">
      <alignment horizontal="center" vertical="center" wrapText="1"/>
    </xf>
    <xf numFmtId="0" fontId="20" fillId="4" borderId="153" xfId="2" applyFill="1" applyBorder="1" applyAlignment="1" applyProtection="1">
      <alignment horizontal="center" vertical="center"/>
    </xf>
    <xf numFmtId="166" fontId="30" fillId="42" borderId="154" xfId="0" applyNumberFormat="1" applyFont="1" applyFill="1" applyBorder="1" applyAlignment="1">
      <alignment horizontal="center" vertical="center"/>
    </xf>
    <xf numFmtId="177" fontId="30" fillId="0" borderId="153" xfId="110" applyNumberFormat="1" applyFont="1" applyBorder="1" applyAlignment="1">
      <alignment horizontal="center" vertical="center" wrapText="1"/>
    </xf>
    <xf numFmtId="0" fontId="12" fillId="0" borderId="154" xfId="0" applyFont="1" applyBorder="1" applyAlignment="1">
      <alignment horizontal="center" vertical="center"/>
    </xf>
    <xf numFmtId="3" fontId="15" fillId="0" borderId="154" xfId="0" applyNumberFormat="1" applyFont="1" applyBorder="1" applyAlignment="1">
      <alignment horizontal="center" vertical="center"/>
    </xf>
    <xf numFmtId="3" fontId="15" fillId="0" borderId="153" xfId="0" applyNumberFormat="1" applyFont="1" applyBorder="1" applyAlignment="1">
      <alignment horizontal="center" vertical="center"/>
    </xf>
    <xf numFmtId="170" fontId="15" fillId="0" borderId="154" xfId="0" applyNumberFormat="1" applyFont="1" applyBorder="1" applyAlignment="1">
      <alignment horizontal="center" vertical="center"/>
    </xf>
    <xf numFmtId="3" fontId="15" fillId="67" borderId="154" xfId="0" applyNumberFormat="1" applyFont="1" applyFill="1" applyBorder="1" applyAlignment="1">
      <alignment horizontal="center" vertical="center"/>
    </xf>
    <xf numFmtId="3" fontId="15" fillId="67" borderId="153" xfId="0" applyNumberFormat="1" applyFont="1" applyFill="1" applyBorder="1" applyAlignment="1">
      <alignment horizontal="center" vertical="center"/>
    </xf>
    <xf numFmtId="170" fontId="15" fillId="0" borderId="153" xfId="0" applyNumberFormat="1" applyFont="1" applyBorder="1" applyAlignment="1">
      <alignment horizontal="center" vertical="center"/>
    </xf>
    <xf numFmtId="3" fontId="12" fillId="0" borderId="153" xfId="0" applyNumberFormat="1" applyFont="1" applyBorder="1" applyAlignment="1">
      <alignment horizontal="center" vertical="center"/>
    </xf>
    <xf numFmtId="3" fontId="12" fillId="42" borderId="154" xfId="1" applyNumberFormat="1" applyFont="1" applyFill="1" applyBorder="1" applyAlignment="1">
      <alignment horizontal="center" vertical="center"/>
    </xf>
    <xf numFmtId="173" fontId="12" fillId="4" borderId="153" xfId="0" applyNumberFormat="1" applyFont="1" applyFill="1" applyBorder="1" applyAlignment="1">
      <alignment horizontal="center" vertical="center"/>
    </xf>
    <xf numFmtId="3" fontId="50" fillId="0" borderId="154" xfId="0" applyNumberFormat="1" applyFont="1" applyBorder="1" applyAlignment="1">
      <alignment horizontal="center" vertical="center"/>
    </xf>
    <xf numFmtId="4" fontId="50" fillId="0" borderId="154" xfId="0" applyNumberFormat="1" applyFont="1" applyBorder="1" applyAlignment="1">
      <alignment horizontal="center" vertical="center"/>
    </xf>
    <xf numFmtId="3" fontId="47" fillId="0" borderId="153" xfId="0" applyNumberFormat="1" applyFont="1" applyBorder="1" applyAlignment="1">
      <alignment horizontal="center" vertical="center"/>
    </xf>
    <xf numFmtId="0" fontId="50" fillId="0" borderId="154" xfId="0" applyFont="1" applyBorder="1" applyAlignment="1">
      <alignment horizontal="center" vertical="center"/>
    </xf>
    <xf numFmtId="4" fontId="30" fillId="0" borderId="153" xfId="0" applyNumberFormat="1" applyFont="1" applyBorder="1" applyAlignment="1">
      <alignment horizontal="center" vertical="center"/>
    </xf>
    <xf numFmtId="3" fontId="12" fillId="4" borderId="154" xfId="0" applyNumberFormat="1" applyFont="1" applyFill="1" applyBorder="1" applyAlignment="1">
      <alignment horizontal="center" vertical="center"/>
    </xf>
    <xf numFmtId="170" fontId="12" fillId="4" borderId="154" xfId="0" applyNumberFormat="1" applyFont="1" applyFill="1" applyBorder="1" applyAlignment="1">
      <alignment horizontal="center" vertical="center"/>
    </xf>
    <xf numFmtId="4" fontId="12" fillId="4" borderId="153" xfId="0" applyNumberFormat="1" applyFont="1" applyFill="1" applyBorder="1" applyAlignment="1">
      <alignment horizontal="center" vertical="top"/>
    </xf>
    <xf numFmtId="168" fontId="15" fillId="0" borderId="154" xfId="0" applyNumberFormat="1" applyFont="1" applyBorder="1" applyAlignment="1">
      <alignment horizontal="center" vertical="center"/>
    </xf>
    <xf numFmtId="9" fontId="15" fillId="0" borderId="154" xfId="3" applyFont="1" applyFill="1" applyBorder="1" applyAlignment="1">
      <alignment horizontal="center" vertical="center"/>
    </xf>
    <xf numFmtId="170" fontId="15" fillId="67" borderId="154" xfId="0" applyNumberFormat="1" applyFont="1" applyFill="1" applyBorder="1" applyAlignment="1">
      <alignment horizontal="center" vertical="center"/>
    </xf>
    <xf numFmtId="3" fontId="15" fillId="4" borderId="153" xfId="0" applyNumberFormat="1" applyFont="1" applyFill="1" applyBorder="1" applyAlignment="1">
      <alignment horizontal="center" vertical="center"/>
    </xf>
    <xf numFmtId="170" fontId="15" fillId="4" borderId="154" xfId="0" applyNumberFormat="1" applyFont="1" applyFill="1" applyBorder="1" applyAlignment="1">
      <alignment horizontal="center" vertical="center"/>
    </xf>
    <xf numFmtId="3" fontId="15" fillId="4" borderId="154" xfId="0" applyNumberFormat="1" applyFont="1" applyFill="1" applyBorder="1" applyAlignment="1">
      <alignment horizontal="center" vertical="center"/>
    </xf>
    <xf numFmtId="170" fontId="15" fillId="4" borderId="153" xfId="0" applyNumberFormat="1" applyFont="1" applyFill="1" applyBorder="1" applyAlignment="1">
      <alignment horizontal="center" vertical="center"/>
    </xf>
    <xf numFmtId="0" fontId="20" fillId="0" borderId="153" xfId="2" applyBorder="1" applyAlignment="1" applyProtection="1">
      <alignment horizontal="center" vertical="center"/>
    </xf>
    <xf numFmtId="3" fontId="0" fillId="0" borderId="154" xfId="0" applyNumberFormat="1" applyBorder="1" applyAlignment="1">
      <alignment horizontal="center" vertical="center"/>
    </xf>
    <xf numFmtId="10" fontId="12" fillId="0" borderId="153" xfId="0" applyNumberFormat="1" applyFont="1" applyBorder="1" applyAlignment="1">
      <alignment horizontal="center" vertical="center"/>
    </xf>
    <xf numFmtId="10" fontId="15" fillId="0" borderId="154" xfId="0" applyNumberFormat="1" applyFont="1" applyBorder="1" applyAlignment="1">
      <alignment horizontal="center" vertical="center"/>
    </xf>
    <xf numFmtId="166" fontId="15" fillId="0" borderId="154" xfId="3" applyNumberFormat="1" applyFont="1" applyFill="1" applyBorder="1" applyAlignment="1">
      <alignment horizontal="center" vertical="center"/>
    </xf>
    <xf numFmtId="9" fontId="12" fillId="59" borderId="154" xfId="0" applyNumberFormat="1" applyFont="1" applyFill="1" applyBorder="1" applyAlignment="1">
      <alignment horizontal="center" vertical="center"/>
    </xf>
    <xf numFmtId="3" fontId="12" fillId="4" borderId="153" xfId="0" applyNumberFormat="1" applyFont="1" applyFill="1" applyBorder="1" applyAlignment="1">
      <alignment horizontal="center" vertical="center"/>
    </xf>
    <xf numFmtId="3" fontId="12" fillId="4" borderId="153" xfId="19" applyNumberFormat="1" applyFill="1" applyBorder="1" applyAlignment="1">
      <alignment horizontal="center" vertical="center"/>
    </xf>
    <xf numFmtId="168" fontId="15" fillId="0" borderId="153" xfId="0" applyNumberFormat="1" applyFont="1" applyBorder="1" applyAlignment="1">
      <alignment horizontal="center" vertical="center" wrapText="1"/>
    </xf>
    <xf numFmtId="170" fontId="15" fillId="0" borderId="153" xfId="0" applyNumberFormat="1" applyFont="1" applyBorder="1" applyAlignment="1">
      <alignment horizontal="center" vertical="center" wrapText="1"/>
    </xf>
    <xf numFmtId="3" fontId="12" fillId="59" borderId="155" xfId="0" applyNumberFormat="1" applyFont="1" applyFill="1" applyBorder="1" applyAlignment="1">
      <alignment horizontal="center" vertical="center"/>
    </xf>
    <xf numFmtId="4" fontId="12" fillId="0" borderId="153" xfId="0" applyNumberFormat="1" applyFont="1" applyBorder="1" applyAlignment="1">
      <alignment horizontal="center" vertical="center"/>
    </xf>
    <xf numFmtId="3" fontId="30" fillId="42" borderId="154" xfId="0" applyNumberFormat="1" applyFont="1" applyFill="1" applyBorder="1" applyAlignment="1">
      <alignment horizontal="center" vertical="center"/>
    </xf>
    <xf numFmtId="166" fontId="30" fillId="0" borderId="153" xfId="0" applyNumberFormat="1" applyFont="1" applyBorder="1" applyAlignment="1">
      <alignment horizontal="center" vertical="center"/>
    </xf>
    <xf numFmtId="3" fontId="30" fillId="0" borderId="154" xfId="0" applyNumberFormat="1" applyFont="1" applyBorder="1" applyAlignment="1">
      <alignment horizontal="center" vertical="center"/>
    </xf>
    <xf numFmtId="0" fontId="30" fillId="67" borderId="154" xfId="0" applyFont="1" applyFill="1" applyBorder="1" applyAlignment="1">
      <alignment horizontal="center" vertical="center"/>
    </xf>
    <xf numFmtId="0" fontId="30" fillId="67" borderId="153" xfId="0" applyFont="1" applyFill="1" applyBorder="1" applyAlignment="1">
      <alignment horizontal="center" vertical="center"/>
    </xf>
    <xf numFmtId="2" fontId="12" fillId="4" borderId="154" xfId="2" applyNumberFormat="1" applyFont="1" applyFill="1" applyBorder="1" applyAlignment="1" applyProtection="1">
      <alignment horizontal="center" vertical="center"/>
    </xf>
    <xf numFmtId="2" fontId="12" fillId="0" borderId="154" xfId="0" applyNumberFormat="1" applyFont="1" applyBorder="1" applyAlignment="1">
      <alignment horizontal="center" vertical="center"/>
    </xf>
    <xf numFmtId="170" fontId="30" fillId="0" borderId="153" xfId="0" applyNumberFormat="1" applyFont="1" applyBorder="1" applyAlignment="1">
      <alignment horizontal="center" vertical="center"/>
    </xf>
    <xf numFmtId="0" fontId="15" fillId="0" borderId="154" xfId="0" applyFont="1" applyBorder="1" applyAlignment="1">
      <alignment horizontal="center" vertical="center" wrapText="1"/>
    </xf>
    <xf numFmtId="166" fontId="15" fillId="42" borderId="153" xfId="0" applyNumberFormat="1" applyFont="1" applyFill="1" applyBorder="1" applyAlignment="1">
      <alignment horizontal="center" vertical="center" wrapText="1"/>
    </xf>
    <xf numFmtId="37" fontId="15" fillId="4" borderId="154" xfId="1" applyNumberFormat="1" applyFont="1" applyFill="1" applyBorder="1" applyAlignment="1">
      <alignment horizontal="center" vertical="center"/>
    </xf>
    <xf numFmtId="37" fontId="15" fillId="4" borderId="153" xfId="1" applyNumberFormat="1" applyFont="1" applyFill="1" applyBorder="1" applyAlignment="1">
      <alignment horizontal="center" vertical="center"/>
    </xf>
    <xf numFmtId="2" fontId="12" fillId="0" borderId="154" xfId="2" applyNumberFormat="1" applyFont="1" applyFill="1" applyBorder="1" applyAlignment="1" applyProtection="1">
      <alignment horizontal="center" vertical="center"/>
    </xf>
    <xf numFmtId="168" fontId="12" fillId="0" borderId="154" xfId="0" applyNumberFormat="1" applyFont="1" applyBorder="1" applyAlignment="1">
      <alignment horizontal="center" vertical="center"/>
    </xf>
    <xf numFmtId="2" fontId="12" fillId="0" borderId="153" xfId="0" applyNumberFormat="1" applyFont="1" applyBorder="1" applyAlignment="1">
      <alignment horizontal="center" vertical="center"/>
    </xf>
    <xf numFmtId="0" fontId="12" fillId="4" borderId="154" xfId="0" applyFont="1" applyFill="1" applyBorder="1" applyAlignment="1">
      <alignment horizontal="center" vertical="center"/>
    </xf>
    <xf numFmtId="166" fontId="12" fillId="42" borderId="154" xfId="0" applyNumberFormat="1" applyFont="1" applyFill="1" applyBorder="1" applyAlignment="1">
      <alignment horizontal="center" vertical="center"/>
    </xf>
    <xf numFmtId="166" fontId="12" fillId="0" borderId="154" xfId="0" applyNumberFormat="1" applyFont="1" applyBorder="1" applyAlignment="1">
      <alignment horizontal="center" vertical="center"/>
    </xf>
    <xf numFmtId="9" fontId="12" fillId="42" borderId="154" xfId="0" applyNumberFormat="1" applyFont="1" applyFill="1" applyBorder="1" applyAlignment="1">
      <alignment horizontal="center" vertical="center" wrapText="1"/>
    </xf>
    <xf numFmtId="9" fontId="12" fillId="42" borderId="153" xfId="0" applyNumberFormat="1" applyFont="1" applyFill="1" applyBorder="1" applyAlignment="1">
      <alignment horizontal="center" vertical="center" wrapText="1"/>
    </xf>
    <xf numFmtId="3" fontId="12" fillId="0" borderId="154" xfId="0" applyNumberFormat="1" applyFont="1" applyBorder="1" applyAlignment="1">
      <alignment horizontal="center" vertical="center" wrapText="1"/>
    </xf>
    <xf numFmtId="1" fontId="12" fillId="0" borderId="154" xfId="2" applyNumberFormat="1" applyFont="1" applyFill="1" applyBorder="1" applyAlignment="1" applyProtection="1">
      <alignment horizontal="center" vertical="center"/>
    </xf>
    <xf numFmtId="1" fontId="12" fillId="0" borderId="154" xfId="0" applyNumberFormat="1" applyFont="1" applyBorder="1" applyAlignment="1">
      <alignment horizontal="center" vertical="center"/>
    </xf>
    <xf numFmtId="170" fontId="12" fillId="0" borderId="154" xfId="0" applyNumberFormat="1" applyFont="1" applyBorder="1" applyAlignment="1">
      <alignment horizontal="center" vertical="center" wrapText="1"/>
    </xf>
    <xf numFmtId="9" fontId="12" fillId="0" borderId="154" xfId="0" applyNumberFormat="1" applyFont="1" applyBorder="1" applyAlignment="1">
      <alignment horizontal="center" vertical="center" wrapText="1"/>
    </xf>
    <xf numFmtId="168" fontId="12" fillId="0" borderId="154" xfId="0" applyNumberFormat="1" applyFont="1" applyBorder="1" applyAlignment="1">
      <alignment horizontal="center" vertical="center" wrapText="1"/>
    </xf>
    <xf numFmtId="2" fontId="12" fillId="0" borderId="153" xfId="0" applyNumberFormat="1" applyFont="1" applyBorder="1" applyAlignment="1">
      <alignment horizontal="center" vertical="center" wrapText="1"/>
    </xf>
    <xf numFmtId="3" fontId="12" fillId="0" borderId="153" xfId="0" applyNumberFormat="1" applyFont="1" applyBorder="1" applyAlignment="1">
      <alignment horizontal="center" vertical="center" wrapText="1"/>
    </xf>
    <xf numFmtId="170" fontId="12" fillId="4" borderId="153" xfId="0" applyNumberFormat="1" applyFont="1" applyFill="1" applyBorder="1" applyAlignment="1">
      <alignment horizontal="center" vertical="center"/>
    </xf>
    <xf numFmtId="4" fontId="15" fillId="4" borderId="153" xfId="0" applyNumberFormat="1" applyFont="1" applyFill="1" applyBorder="1" applyAlignment="1">
      <alignment horizontal="center" vertical="center"/>
    </xf>
    <xf numFmtId="0" fontId="12" fillId="4" borderId="0" xfId="0" applyFont="1" applyFill="1" applyAlignment="1">
      <alignment horizontal="left" vertical="top" wrapText="1"/>
    </xf>
    <xf numFmtId="0" fontId="70" fillId="61" borderId="34" xfId="0" applyFont="1" applyFill="1" applyBorder="1" applyAlignment="1">
      <alignment horizontal="center" vertical="center" wrapText="1"/>
    </xf>
    <xf numFmtId="0" fontId="70" fillId="61" borderId="21" xfId="0" applyFont="1" applyFill="1" applyBorder="1" applyAlignment="1">
      <alignment horizontal="center" vertical="center" wrapText="1"/>
    </xf>
    <xf numFmtId="0" fontId="70" fillId="60" borderId="4" xfId="19" applyFont="1" applyFill="1" applyBorder="1" applyAlignment="1">
      <alignment horizontal="center" vertical="center" wrapText="1"/>
    </xf>
    <xf numFmtId="0" fontId="70" fillId="60" borderId="17" xfId="19" applyFont="1" applyFill="1" applyBorder="1" applyAlignment="1">
      <alignment horizontal="center" vertical="center" wrapText="1"/>
    </xf>
    <xf numFmtId="0" fontId="70" fillId="72" borderId="17" xfId="19" applyFont="1" applyFill="1" applyBorder="1" applyAlignment="1">
      <alignment horizontal="center" vertical="center" wrapText="1"/>
    </xf>
    <xf numFmtId="0" fontId="70" fillId="60" borderId="24" xfId="19" applyFont="1" applyFill="1" applyBorder="1" applyAlignment="1">
      <alignment horizontal="center" vertical="center" wrapText="1"/>
    </xf>
    <xf numFmtId="0" fontId="70" fillId="60" borderId="20" xfId="19" applyFont="1" applyFill="1" applyBorder="1" applyAlignment="1">
      <alignment horizontal="center" vertical="center" wrapText="1"/>
    </xf>
    <xf numFmtId="0" fontId="70" fillId="61" borderId="69" xfId="0" applyFont="1" applyFill="1" applyBorder="1" applyAlignment="1">
      <alignment horizontal="center" vertical="center" wrapText="1"/>
    </xf>
    <xf numFmtId="0" fontId="70" fillId="61" borderId="137" xfId="0" applyFont="1" applyFill="1" applyBorder="1" applyAlignment="1">
      <alignment horizontal="center" vertical="center" wrapText="1"/>
    </xf>
    <xf numFmtId="0" fontId="18" fillId="4" borderId="0" xfId="0" applyFont="1" applyFill="1" applyAlignment="1">
      <alignment horizontal="left" wrapText="1"/>
    </xf>
    <xf numFmtId="0" fontId="70" fillId="61" borderId="10" xfId="0" applyFont="1" applyFill="1" applyBorder="1" applyAlignment="1">
      <alignment horizontal="center" vertical="center" wrapText="1"/>
    </xf>
    <xf numFmtId="0" fontId="70" fillId="61" borderId="114" xfId="0" applyFont="1" applyFill="1" applyBorder="1" applyAlignment="1">
      <alignment horizontal="center" vertical="center" wrapText="1"/>
    </xf>
    <xf numFmtId="0" fontId="0" fillId="0" borderId="3" xfId="0" applyBorder="1" applyAlignment="1">
      <alignment wrapText="1"/>
    </xf>
    <xf numFmtId="0" fontId="70" fillId="61" borderId="113" xfId="0" applyFont="1" applyFill="1" applyBorder="1" applyAlignment="1">
      <alignment horizontal="center" vertical="center" wrapText="1"/>
    </xf>
    <xf numFmtId="0" fontId="94" fillId="0" borderId="0" xfId="0" applyFont="1"/>
    <xf numFmtId="0" fontId="70" fillId="73" borderId="133" xfId="0" applyFont="1" applyFill="1" applyBorder="1" applyAlignment="1">
      <alignment horizontal="center" vertical="center" wrapText="1"/>
    </xf>
    <xf numFmtId="0" fontId="12" fillId="4" borderId="90" xfId="0" applyFont="1" applyFill="1" applyBorder="1" applyAlignment="1">
      <alignment horizontal="center" vertical="center" wrapText="1"/>
    </xf>
    <xf numFmtId="0" fontId="12" fillId="4" borderId="108" xfId="0" applyFont="1" applyFill="1" applyBorder="1" applyAlignment="1">
      <alignment horizontal="center" vertical="center" wrapText="1"/>
    </xf>
    <xf numFmtId="3" fontId="12" fillId="42" borderId="118" xfId="0" applyNumberFormat="1" applyFont="1" applyFill="1" applyBorder="1" applyAlignment="1">
      <alignment horizontal="center" vertical="center" wrapText="1"/>
    </xf>
    <xf numFmtId="4" fontId="51" fillId="0" borderId="118" xfId="0" applyNumberFormat="1" applyFont="1" applyBorder="1" applyAlignment="1">
      <alignment horizontal="center" vertical="center"/>
    </xf>
    <xf numFmtId="3" fontId="51" fillId="0" borderId="118" xfId="0" applyNumberFormat="1" applyFont="1" applyBorder="1" applyAlignment="1">
      <alignment horizontal="center" vertical="center"/>
    </xf>
    <xf numFmtId="4" fontId="30" fillId="0" borderId="53" xfId="0" applyNumberFormat="1" applyFont="1" applyBorder="1" applyAlignment="1">
      <alignment horizontal="center" vertical="center"/>
    </xf>
    <xf numFmtId="3" fontId="30" fillId="0" borderId="53" xfId="0" applyNumberFormat="1" applyFont="1" applyBorder="1" applyAlignment="1">
      <alignment horizontal="center" vertical="center"/>
    </xf>
    <xf numFmtId="0" fontId="12" fillId="4" borderId="84" xfId="0" applyFont="1" applyFill="1" applyBorder="1" applyAlignment="1">
      <alignment horizontal="center" vertical="center" wrapText="1"/>
    </xf>
    <xf numFmtId="3" fontId="12" fillId="42" borderId="84" xfId="0" applyNumberFormat="1" applyFont="1" applyFill="1" applyBorder="1" applyAlignment="1">
      <alignment horizontal="center" vertical="center" wrapText="1"/>
    </xf>
    <xf numFmtId="3" fontId="47" fillId="67" borderId="61" xfId="0" applyNumberFormat="1" applyFont="1" applyFill="1" applyBorder="1" applyAlignment="1">
      <alignment horizontal="center" vertical="center"/>
    </xf>
    <xf numFmtId="4" fontId="51" fillId="0" borderId="84" xfId="0" applyNumberFormat="1" applyFont="1" applyBorder="1" applyAlignment="1">
      <alignment horizontal="center" vertical="center"/>
    </xf>
    <xf numFmtId="3" fontId="51" fillId="0" borderId="84" xfId="0" applyNumberFormat="1" applyFont="1" applyBorder="1" applyAlignment="1">
      <alignment horizontal="center" vertical="center"/>
    </xf>
    <xf numFmtId="3" fontId="47" fillId="67" borderId="156" xfId="0" applyNumberFormat="1" applyFont="1" applyFill="1" applyBorder="1" applyAlignment="1">
      <alignment horizontal="center" vertical="center"/>
    </xf>
    <xf numFmtId="3" fontId="12" fillId="42" borderId="108" xfId="0" applyNumberFormat="1" applyFont="1" applyFill="1" applyBorder="1" applyAlignment="1">
      <alignment horizontal="center" vertical="center" wrapText="1"/>
    </xf>
    <xf numFmtId="4" fontId="51" fillId="0" borderId="108" xfId="0" applyNumberFormat="1" applyFont="1" applyBorder="1" applyAlignment="1">
      <alignment horizontal="center" vertical="center"/>
    </xf>
    <xf numFmtId="3" fontId="51" fillId="0" borderId="108" xfId="0" applyNumberFormat="1" applyFont="1" applyBorder="1" applyAlignment="1">
      <alignment horizontal="center" vertical="center"/>
    </xf>
    <xf numFmtId="3" fontId="47" fillId="67" borderId="129" xfId="0" applyNumberFormat="1" applyFont="1" applyFill="1" applyBorder="1" applyAlignment="1">
      <alignment horizontal="center" vertical="center"/>
    </xf>
    <xf numFmtId="0" fontId="15" fillId="4" borderId="87" xfId="0" applyFont="1" applyFill="1" applyBorder="1" applyAlignment="1">
      <alignment horizontal="center" vertical="center" wrapText="1"/>
    </xf>
    <xf numFmtId="3" fontId="15" fillId="42" borderId="87" xfId="0" applyNumberFormat="1" applyFont="1" applyFill="1" applyBorder="1" applyAlignment="1">
      <alignment horizontal="center" vertical="center" wrapText="1"/>
    </xf>
    <xf numFmtId="4" fontId="50" fillId="0" borderId="87" xfId="0" applyNumberFormat="1" applyFont="1" applyBorder="1" applyAlignment="1">
      <alignment horizontal="center" vertical="center"/>
    </xf>
    <xf numFmtId="188" fontId="19" fillId="35" borderId="0" xfId="19" applyNumberFormat="1" applyFont="1" applyFill="1" applyAlignment="1">
      <alignment horizontal="center" wrapText="1"/>
    </xf>
    <xf numFmtId="0" fontId="12" fillId="39" borderId="39" xfId="0" applyFont="1" applyFill="1" applyBorder="1" applyAlignment="1">
      <alignment horizontal="center" vertical="center" wrapText="1"/>
    </xf>
    <xf numFmtId="0" fontId="12" fillId="39" borderId="72" xfId="0" applyFont="1" applyFill="1" applyBorder="1" applyAlignment="1">
      <alignment horizontal="center" vertical="center" wrapText="1"/>
    </xf>
    <xf numFmtId="0" fontId="12" fillId="39" borderId="60" xfId="0" applyFont="1" applyFill="1" applyBorder="1" applyAlignment="1">
      <alignment horizontal="center" vertical="center" wrapText="1"/>
    </xf>
    <xf numFmtId="0" fontId="83" fillId="0" borderId="66" xfId="0" applyFont="1" applyBorder="1" applyAlignment="1">
      <alignment horizontal="center" vertical="center" wrapText="1"/>
    </xf>
    <xf numFmtId="9" fontId="47" fillId="0" borderId="53" xfId="1" applyNumberFormat="1" applyFont="1" applyFill="1" applyBorder="1" applyAlignment="1">
      <alignment horizontal="center" vertical="center"/>
    </xf>
    <xf numFmtId="2" fontId="0" fillId="0" borderId="0" xfId="0" applyNumberFormat="1"/>
    <xf numFmtId="9" fontId="51" fillId="0" borderId="0" xfId="3" applyFont="1"/>
    <xf numFmtId="9" fontId="12" fillId="4" borderId="0" xfId="3" applyFont="1" applyFill="1"/>
    <xf numFmtId="0" fontId="70" fillId="61" borderId="5" xfId="110" applyFont="1" applyFill="1" applyBorder="1" applyAlignment="1">
      <alignment horizontal="center" vertical="center" wrapText="1"/>
    </xf>
    <xf numFmtId="0" fontId="20" fillId="0" borderId="82" xfId="2" applyFill="1" applyBorder="1" applyAlignment="1" applyProtection="1">
      <alignment horizontal="center" vertical="center"/>
    </xf>
    <xf numFmtId="0" fontId="20" fillId="0" borderId="139" xfId="2" applyBorder="1" applyAlignment="1" applyProtection="1">
      <alignment horizontal="center" vertical="center" wrapText="1"/>
    </xf>
    <xf numFmtId="43" fontId="20" fillId="0" borderId="119" xfId="2" applyNumberFormat="1" applyBorder="1" applyAlignment="1" applyProtection="1">
      <alignment horizontal="center" vertical="center"/>
    </xf>
    <xf numFmtId="0" fontId="94" fillId="4" borderId="0" xfId="0" applyFont="1" applyFill="1" applyAlignment="1">
      <alignment wrapText="1"/>
    </xf>
    <xf numFmtId="0" fontId="20" fillId="4" borderId="0" xfId="2" applyFill="1" applyBorder="1" applyAlignment="1" applyProtection="1">
      <alignment horizontal="center" vertical="top" wrapText="1"/>
    </xf>
    <xf numFmtId="180" fontId="15" fillId="0" borderId="153" xfId="0" applyNumberFormat="1" applyFont="1" applyBorder="1" applyAlignment="1">
      <alignment horizontal="center" vertical="center"/>
    </xf>
    <xf numFmtId="0" fontId="21" fillId="4" borderId="5" xfId="0" applyFont="1" applyFill="1" applyBorder="1" applyAlignment="1">
      <alignment horizontal="center" vertical="top"/>
    </xf>
    <xf numFmtId="3" fontId="30" fillId="4" borderId="86" xfId="0" applyNumberFormat="1" applyFont="1" applyFill="1" applyBorder="1" applyAlignment="1">
      <alignment horizontal="center" vertical="center"/>
    </xf>
    <xf numFmtId="169" fontId="30" fillId="39" borderId="122" xfId="110" applyNumberFormat="1" applyFont="1" applyFill="1" applyBorder="1" applyAlignment="1">
      <alignment horizontal="center" vertical="center"/>
    </xf>
    <xf numFmtId="169" fontId="30" fillId="39" borderId="121" xfId="110" applyNumberFormat="1" applyFont="1" applyFill="1" applyBorder="1" applyAlignment="1">
      <alignment horizontal="center" vertical="center"/>
    </xf>
    <xf numFmtId="177" fontId="12" fillId="39" borderId="122" xfId="110" applyNumberFormat="1" applyFont="1" applyFill="1" applyBorder="1" applyAlignment="1">
      <alignment horizontal="center" vertical="center"/>
    </xf>
    <xf numFmtId="177" fontId="12" fillId="39" borderId="121" xfId="110" applyNumberFormat="1" applyFont="1" applyFill="1" applyBorder="1" applyAlignment="1">
      <alignment horizontal="center" vertical="center"/>
    </xf>
    <xf numFmtId="178" fontId="12" fillId="39" borderId="122" xfId="110" applyNumberFormat="1" applyFont="1" applyFill="1" applyBorder="1" applyAlignment="1">
      <alignment horizontal="center" vertical="center"/>
    </xf>
    <xf numFmtId="178" fontId="12" fillId="39" borderId="121" xfId="110" applyNumberFormat="1" applyFont="1" applyFill="1" applyBorder="1" applyAlignment="1">
      <alignment horizontal="center" vertical="center"/>
    </xf>
    <xf numFmtId="0" fontId="93" fillId="74" borderId="78" xfId="0" applyFont="1" applyFill="1" applyBorder="1" applyAlignment="1">
      <alignment horizontal="center" vertical="center"/>
    </xf>
    <xf numFmtId="3" fontId="47" fillId="36" borderId="8" xfId="0" applyNumberFormat="1" applyFont="1" applyFill="1" applyBorder="1" applyAlignment="1">
      <alignment horizontal="center" vertical="center"/>
    </xf>
    <xf numFmtId="3" fontId="93" fillId="74" borderId="73" xfId="0" applyNumberFormat="1" applyFont="1" applyFill="1" applyBorder="1" applyAlignment="1">
      <alignment horizontal="center" vertical="center"/>
    </xf>
    <xf numFmtId="0" fontId="93" fillId="74" borderId="61" xfId="0" applyFont="1" applyFill="1" applyBorder="1" applyAlignment="1">
      <alignment horizontal="center" vertical="center"/>
    </xf>
    <xf numFmtId="0" fontId="94" fillId="4" borderId="0" xfId="0" applyFont="1" applyFill="1"/>
    <xf numFmtId="3" fontId="12" fillId="36" borderId="114" xfId="0" applyNumberFormat="1" applyFont="1" applyFill="1" applyBorder="1" applyAlignment="1">
      <alignment horizontal="center" vertical="center"/>
    </xf>
    <xf numFmtId="0" fontId="12" fillId="0" borderId="7" xfId="0" applyFont="1" applyBorder="1" applyAlignment="1">
      <alignment horizontal="center" vertical="center" wrapText="1"/>
    </xf>
    <xf numFmtId="0" fontId="12" fillId="0" borderId="23" xfId="0" applyFont="1" applyBorder="1" applyAlignment="1">
      <alignment horizontal="center" vertical="center" wrapText="1"/>
    </xf>
    <xf numFmtId="4" fontId="30" fillId="0" borderId="77" xfId="0" applyNumberFormat="1" applyFont="1" applyBorder="1"/>
    <xf numFmtId="4" fontId="47" fillId="59" borderId="78" xfId="0" applyNumberFormat="1" applyFont="1" applyFill="1" applyBorder="1" applyAlignment="1">
      <alignment horizontal="center" vertical="center"/>
    </xf>
    <xf numFmtId="4" fontId="95" fillId="59" borderId="80" xfId="0" applyNumberFormat="1" applyFont="1" applyFill="1" applyBorder="1" applyAlignment="1">
      <alignment horizontal="center" vertical="center"/>
    </xf>
    <xf numFmtId="4" fontId="95" fillId="59" borderId="60" xfId="0" applyNumberFormat="1" applyFont="1" applyFill="1" applyBorder="1" applyAlignment="1">
      <alignment horizontal="center" vertical="center"/>
    </xf>
    <xf numFmtId="167" fontId="15" fillId="4" borderId="17" xfId="0" applyNumberFormat="1" applyFont="1" applyFill="1" applyBorder="1" applyAlignment="1">
      <alignment horizontal="center" vertical="center"/>
    </xf>
    <xf numFmtId="3" fontId="0" fillId="4" borderId="0" xfId="0" applyNumberFormat="1" applyFill="1" applyAlignment="1">
      <alignment horizontal="center" vertical="center"/>
    </xf>
    <xf numFmtId="4" fontId="0" fillId="4" borderId="0" xfId="0" applyNumberFormat="1" applyFill="1" applyAlignment="1">
      <alignment horizontal="center" vertical="center"/>
    </xf>
    <xf numFmtId="180" fontId="0" fillId="4" borderId="0" xfId="0" applyNumberFormat="1" applyFill="1" applyAlignment="1">
      <alignment horizontal="center" vertical="center"/>
    </xf>
    <xf numFmtId="170" fontId="0" fillId="4" borderId="0" xfId="0" applyNumberFormat="1" applyFill="1" applyAlignment="1">
      <alignment horizontal="center" vertical="center"/>
    </xf>
    <xf numFmtId="183" fontId="0" fillId="59" borderId="0" xfId="0" applyNumberFormat="1" applyFill="1" applyAlignment="1">
      <alignment horizontal="center" vertical="center"/>
    </xf>
    <xf numFmtId="175" fontId="0" fillId="4" borderId="0" xfId="0" applyNumberFormat="1" applyFill="1" applyAlignment="1">
      <alignment horizontal="center" vertical="center"/>
    </xf>
    <xf numFmtId="0" fontId="15" fillId="4" borderId="4" xfId="0" applyFont="1" applyFill="1" applyBorder="1" applyAlignment="1">
      <alignment horizontal="center" vertical="center" wrapText="1"/>
    </xf>
    <xf numFmtId="166" fontId="12" fillId="66" borderId="8" xfId="3" applyNumberFormat="1" applyFont="1" applyFill="1" applyBorder="1" applyAlignment="1">
      <alignment horizontal="center" vertical="center"/>
    </xf>
    <xf numFmtId="166" fontId="12" fillId="66" borderId="5" xfId="3" applyNumberFormat="1" applyFont="1" applyFill="1" applyBorder="1" applyAlignment="1">
      <alignment horizontal="center" vertical="center"/>
    </xf>
    <xf numFmtId="0" fontId="15" fillId="4" borderId="17" xfId="0" applyFont="1" applyFill="1" applyBorder="1" applyAlignment="1">
      <alignment horizontal="center" vertical="center" wrapText="1"/>
    </xf>
    <xf numFmtId="3" fontId="12" fillId="39" borderId="38" xfId="0" applyNumberFormat="1" applyFont="1" applyFill="1" applyBorder="1" applyAlignment="1">
      <alignment horizontal="center" vertical="center"/>
    </xf>
    <xf numFmtId="37" fontId="15" fillId="0" borderId="0" xfId="1" applyNumberFormat="1" applyFont="1" applyFill="1" applyBorder="1" applyAlignment="1">
      <alignment horizontal="center" vertical="center"/>
    </xf>
    <xf numFmtId="164" fontId="94" fillId="4" borderId="0" xfId="1" applyNumberFormat="1" applyFont="1" applyFill="1" applyBorder="1"/>
    <xf numFmtId="0" fontId="15" fillId="4" borderId="11" xfId="0" applyFont="1" applyFill="1" applyBorder="1" applyAlignment="1">
      <alignment horizontal="right" vertical="center" wrapText="1"/>
    </xf>
    <xf numFmtId="0" fontId="12" fillId="0" borderId="0" xfId="0" applyFont="1" applyAlignment="1">
      <alignment horizontal="right"/>
    </xf>
    <xf numFmtId="164" fontId="0" fillId="0" borderId="0" xfId="1" applyNumberFormat="1" applyFont="1" applyFill="1" applyAlignment="1">
      <alignment wrapText="1"/>
    </xf>
    <xf numFmtId="0" fontId="0" fillId="0" borderId="0" xfId="0" applyAlignment="1">
      <alignment horizontal="right"/>
    </xf>
    <xf numFmtId="164" fontId="0" fillId="0" borderId="0" xfId="0" applyNumberFormat="1" applyAlignment="1">
      <alignment wrapText="1"/>
    </xf>
    <xf numFmtId="43" fontId="0" fillId="0" borderId="0" xfId="0" applyNumberFormat="1" applyAlignment="1">
      <alignment wrapText="1"/>
    </xf>
    <xf numFmtId="9" fontId="12" fillId="42" borderId="53" xfId="0" applyNumberFormat="1" applyFont="1" applyFill="1" applyBorder="1" applyAlignment="1">
      <alignment horizontal="center" vertical="center"/>
    </xf>
    <xf numFmtId="164" fontId="97" fillId="4" borderId="0" xfId="1" applyNumberFormat="1" applyFont="1" applyFill="1" applyBorder="1"/>
    <xf numFmtId="0" fontId="70" fillId="61" borderId="113" xfId="0" applyFont="1" applyFill="1" applyBorder="1" applyAlignment="1">
      <alignment horizontal="left" vertical="center" wrapText="1"/>
    </xf>
    <xf numFmtId="170" fontId="12" fillId="0" borderId="113" xfId="0" applyNumberFormat="1" applyFont="1" applyBorder="1" applyAlignment="1">
      <alignment horizontal="left" vertical="center"/>
    </xf>
    <xf numFmtId="170" fontId="12" fillId="0" borderId="66" xfId="0" applyNumberFormat="1" applyFont="1" applyBorder="1" applyAlignment="1">
      <alignment horizontal="left" vertical="center"/>
    </xf>
    <xf numFmtId="170" fontId="12" fillId="0" borderId="11" xfId="0" applyNumberFormat="1" applyFont="1" applyBorder="1" applyAlignment="1">
      <alignment horizontal="left" vertical="center"/>
    </xf>
    <xf numFmtId="0" fontId="70" fillId="61" borderId="6" xfId="0" applyFont="1" applyFill="1" applyBorder="1" applyAlignment="1">
      <alignment horizontal="left" vertical="center" wrapText="1"/>
    </xf>
    <xf numFmtId="189" fontId="12" fillId="39" borderId="114" xfId="0" applyNumberFormat="1" applyFont="1" applyFill="1" applyBorder="1" applyAlignment="1">
      <alignment horizontal="center" vertical="center" wrapText="1"/>
    </xf>
    <xf numFmtId="190" fontId="12" fillId="39" borderId="114" xfId="0" applyNumberFormat="1" applyFont="1" applyFill="1" applyBorder="1" applyAlignment="1">
      <alignment horizontal="center" vertical="center" wrapText="1"/>
    </xf>
    <xf numFmtId="165" fontId="12" fillId="39" borderId="114" xfId="0" applyNumberFormat="1" applyFont="1" applyFill="1" applyBorder="1" applyAlignment="1">
      <alignment horizontal="center" vertical="center" wrapText="1"/>
    </xf>
    <xf numFmtId="0" fontId="12" fillId="4" borderId="113" xfId="0" applyFont="1" applyFill="1" applyBorder="1" applyAlignment="1">
      <alignment horizontal="left" wrapText="1"/>
    </xf>
    <xf numFmtId="0" fontId="12" fillId="4" borderId="11" xfId="0" applyFont="1" applyFill="1" applyBorder="1" applyAlignment="1">
      <alignment horizontal="left" wrapText="1"/>
    </xf>
    <xf numFmtId="165" fontId="12" fillId="39" borderId="153" xfId="0" applyNumberFormat="1" applyFont="1" applyFill="1" applyBorder="1" applyAlignment="1">
      <alignment horizontal="center" vertical="center" wrapText="1"/>
    </xf>
    <xf numFmtId="190" fontId="12" fillId="39" borderId="153" xfId="0" applyNumberFormat="1" applyFont="1" applyFill="1" applyBorder="1" applyAlignment="1">
      <alignment horizontal="center" vertical="center" wrapText="1"/>
    </xf>
    <xf numFmtId="170" fontId="12" fillId="0" borderId="113" xfId="0" applyNumberFormat="1" applyFont="1" applyBorder="1" applyAlignment="1">
      <alignment horizontal="left" vertical="center" wrapText="1"/>
    </xf>
    <xf numFmtId="0" fontId="12" fillId="0" borderId="114" xfId="0" applyFont="1" applyBorder="1" applyAlignment="1">
      <alignment horizontal="center" vertical="center"/>
    </xf>
    <xf numFmtId="0" fontId="0" fillId="4" borderId="114" xfId="0" applyFill="1" applyBorder="1" applyAlignment="1">
      <alignment horizontal="center"/>
    </xf>
    <xf numFmtId="0" fontId="15" fillId="4" borderId="48" xfId="0" applyFont="1" applyFill="1" applyBorder="1" applyAlignment="1">
      <alignment horizontal="right" vertical="center" wrapText="1"/>
    </xf>
    <xf numFmtId="0" fontId="20" fillId="0" borderId="65" xfId="2" applyBorder="1" applyAlignment="1" applyProtection="1">
      <alignment horizontal="center" vertical="center" wrapText="1"/>
    </xf>
    <xf numFmtId="3" fontId="12" fillId="36" borderId="154" xfId="15" applyNumberFormat="1" applyFont="1" applyFill="1" applyBorder="1" applyAlignment="1">
      <alignment horizontal="center" vertical="center"/>
    </xf>
    <xf numFmtId="3" fontId="30" fillId="36" borderId="153" xfId="0" applyNumberFormat="1" applyFont="1" applyFill="1" applyBorder="1" applyAlignment="1">
      <alignment horizontal="center" vertical="center"/>
    </xf>
    <xf numFmtId="0" fontId="94" fillId="4" borderId="0" xfId="0" applyFont="1" applyFill="1" applyAlignment="1">
      <alignment vertical="top" wrapText="1"/>
    </xf>
    <xf numFmtId="0" fontId="20" fillId="0" borderId="91" xfId="2" applyFill="1" applyBorder="1" applyAlignment="1" applyProtection="1">
      <alignment horizontal="center"/>
    </xf>
    <xf numFmtId="43" fontId="94" fillId="4" borderId="0" xfId="1" applyFont="1" applyFill="1" applyAlignment="1">
      <alignment vertical="top" wrapText="1"/>
    </xf>
    <xf numFmtId="0" fontId="94" fillId="0" borderId="0" xfId="0" applyFont="1" applyAlignment="1">
      <alignment vertical="top" wrapText="1"/>
    </xf>
    <xf numFmtId="0" fontId="94" fillId="67" borderId="116" xfId="0" applyFont="1" applyFill="1" applyBorder="1" applyAlignment="1">
      <alignment horizontal="center" vertical="center"/>
    </xf>
    <xf numFmtId="3" fontId="30" fillId="71" borderId="60" xfId="0" applyNumberFormat="1" applyFont="1" applyFill="1" applyBorder="1" applyAlignment="1">
      <alignment horizontal="center" vertical="center"/>
    </xf>
    <xf numFmtId="3" fontId="30" fillId="39" borderId="61" xfId="0" applyNumberFormat="1" applyFont="1" applyFill="1" applyBorder="1" applyAlignment="1">
      <alignment horizontal="center" vertical="center"/>
    </xf>
    <xf numFmtId="3" fontId="30" fillId="71" borderId="78" xfId="0" applyNumberFormat="1" applyFont="1" applyFill="1" applyBorder="1" applyAlignment="1">
      <alignment horizontal="center" vertical="center"/>
    </xf>
    <xf numFmtId="3" fontId="30" fillId="39" borderId="38" xfId="0" applyNumberFormat="1" applyFont="1" applyFill="1" applyBorder="1" applyAlignment="1">
      <alignment horizontal="center" vertical="center"/>
    </xf>
    <xf numFmtId="3" fontId="30" fillId="71" borderId="62" xfId="0" applyNumberFormat="1" applyFont="1" applyFill="1" applyBorder="1" applyAlignment="1">
      <alignment horizontal="center" vertical="center"/>
    </xf>
    <xf numFmtId="3" fontId="30" fillId="39" borderId="89" xfId="0" applyNumberFormat="1" applyFont="1" applyFill="1" applyBorder="1" applyAlignment="1">
      <alignment horizontal="center" vertical="center"/>
    </xf>
    <xf numFmtId="3" fontId="30" fillId="71" borderId="154" xfId="0" applyNumberFormat="1" applyFont="1" applyFill="1" applyBorder="1" applyAlignment="1">
      <alignment horizontal="center" vertical="center"/>
    </xf>
    <xf numFmtId="3" fontId="30" fillId="39" borderId="88" xfId="0" applyNumberFormat="1" applyFont="1" applyFill="1" applyBorder="1" applyAlignment="1">
      <alignment horizontal="center" vertical="center"/>
    </xf>
    <xf numFmtId="3" fontId="30" fillId="36" borderId="73" xfId="0" applyNumberFormat="1" applyFont="1" applyFill="1" applyBorder="1" applyAlignment="1">
      <alignment horizontal="center" vertical="center"/>
    </xf>
    <xf numFmtId="3" fontId="30" fillId="36" borderId="61" xfId="0" applyNumberFormat="1" applyFont="1" applyFill="1" applyBorder="1" applyAlignment="1">
      <alignment horizontal="center" vertical="center"/>
    </xf>
    <xf numFmtId="3" fontId="30" fillId="36" borderId="88" xfId="0" applyNumberFormat="1" applyFont="1" applyFill="1" applyBorder="1" applyAlignment="1">
      <alignment horizontal="center" vertical="center"/>
    </xf>
    <xf numFmtId="0" fontId="94" fillId="0" borderId="0" xfId="0" applyFont="1" applyAlignment="1">
      <alignment wrapText="1"/>
    </xf>
    <xf numFmtId="9" fontId="0" fillId="0" borderId="0" xfId="0" applyNumberFormat="1" applyAlignment="1">
      <alignment horizontal="center" vertical="center"/>
    </xf>
    <xf numFmtId="0" fontId="98" fillId="0" borderId="0" xfId="0" applyFont="1" applyAlignment="1">
      <alignment horizontal="left" vertical="top" wrapText="1"/>
    </xf>
    <xf numFmtId="9" fontId="0" fillId="0" borderId="0" xfId="0" applyNumberFormat="1"/>
    <xf numFmtId="0" fontId="15" fillId="0" borderId="0" xfId="0" applyFont="1" applyAlignment="1">
      <alignment horizontal="center" wrapText="1"/>
    </xf>
    <xf numFmtId="0" fontId="12" fillId="0" borderId="0" xfId="0" applyFont="1" applyAlignment="1">
      <alignment horizontal="left" wrapText="1"/>
    </xf>
    <xf numFmtId="37" fontId="12" fillId="36" borderId="10" xfId="15" applyNumberFormat="1" applyFont="1" applyFill="1" applyBorder="1" applyAlignment="1">
      <alignment horizontal="center" wrapText="1"/>
    </xf>
    <xf numFmtId="37" fontId="12" fillId="36" borderId="153" xfId="15" applyNumberFormat="1" applyFont="1" applyFill="1" applyBorder="1" applyAlignment="1">
      <alignment horizontal="center" wrapText="1"/>
    </xf>
    <xf numFmtId="37" fontId="95" fillId="0" borderId="0" xfId="1" applyNumberFormat="1" applyFont="1" applyFill="1" applyBorder="1" applyAlignment="1">
      <alignment horizontal="center" vertical="center"/>
    </xf>
    <xf numFmtId="0" fontId="12" fillId="0" borderId="11" xfId="0" applyFont="1" applyBorder="1" applyAlignment="1">
      <alignment horizontal="center" wrapText="1"/>
    </xf>
    <xf numFmtId="0" fontId="12" fillId="0" borderId="9" xfId="0" applyFont="1" applyBorder="1" applyAlignment="1">
      <alignment horizontal="center" wrapText="1"/>
    </xf>
    <xf numFmtId="37" fontId="12" fillId="36" borderId="154" xfId="15" applyNumberFormat="1" applyFont="1" applyFill="1" applyBorder="1" applyAlignment="1">
      <alignment horizontal="center" wrapText="1"/>
    </xf>
    <xf numFmtId="37" fontId="12" fillId="36" borderId="153" xfId="1" applyNumberFormat="1" applyFont="1" applyFill="1" applyBorder="1" applyAlignment="1">
      <alignment horizontal="center" wrapText="1"/>
    </xf>
    <xf numFmtId="3" fontId="89" fillId="39" borderId="120" xfId="0" applyNumberFormat="1" applyFont="1" applyFill="1" applyBorder="1" applyAlignment="1">
      <alignment horizontal="center" vertical="center"/>
    </xf>
    <xf numFmtId="3" fontId="89" fillId="39" borderId="119" xfId="0" applyNumberFormat="1" applyFont="1" applyFill="1" applyBorder="1" applyAlignment="1">
      <alignment horizontal="center" vertical="center"/>
    </xf>
    <xf numFmtId="0" fontId="30" fillId="0" borderId="0" xfId="0" applyFont="1" applyAlignment="1">
      <alignment horizontal="left" vertical="center"/>
    </xf>
    <xf numFmtId="3" fontId="30" fillId="39" borderId="127" xfId="0" applyNumberFormat="1" applyFont="1" applyFill="1" applyBorder="1" applyAlignment="1">
      <alignment horizontal="center" vertical="center"/>
    </xf>
    <xf numFmtId="2" fontId="30" fillId="67" borderId="154" xfId="0" applyNumberFormat="1" applyFont="1" applyFill="1" applyBorder="1" applyAlignment="1">
      <alignment horizontal="center" vertical="center"/>
    </xf>
    <xf numFmtId="3" fontId="30" fillId="39" borderId="80" xfId="0" applyNumberFormat="1" applyFont="1" applyFill="1" applyBorder="1" applyAlignment="1">
      <alignment horizontal="center" vertical="center"/>
    </xf>
    <xf numFmtId="2" fontId="30" fillId="67" borderId="7" xfId="0" applyNumberFormat="1" applyFont="1" applyFill="1" applyBorder="1" applyAlignment="1">
      <alignment horizontal="center" vertical="center"/>
    </xf>
    <xf numFmtId="3" fontId="30" fillId="39" borderId="130" xfId="0" applyNumberFormat="1" applyFont="1" applyFill="1" applyBorder="1" applyAlignment="1">
      <alignment horizontal="center" vertical="center"/>
    </xf>
    <xf numFmtId="0" fontId="70" fillId="61" borderId="82" xfId="0" applyFont="1" applyFill="1" applyBorder="1" applyAlignment="1">
      <alignment horizontal="center" vertical="center" wrapText="1"/>
    </xf>
    <xf numFmtId="4" fontId="15" fillId="4" borderId="5" xfId="0" applyNumberFormat="1" applyFont="1" applyFill="1" applyBorder="1" applyAlignment="1">
      <alignment horizontal="center" vertical="center"/>
    </xf>
    <xf numFmtId="4" fontId="15" fillId="4" borderId="17" xfId="0" applyNumberFormat="1" applyFont="1" applyFill="1" applyBorder="1" applyAlignment="1">
      <alignment horizontal="center" vertical="center"/>
    </xf>
    <xf numFmtId="9" fontId="51" fillId="0" borderId="73" xfId="0" applyNumberFormat="1" applyFont="1" applyBorder="1" applyAlignment="1">
      <alignment horizontal="center" vertical="center"/>
    </xf>
    <xf numFmtId="9" fontId="12" fillId="0" borderId="88" xfId="0" applyNumberFormat="1" applyFont="1" applyBorder="1" applyAlignment="1">
      <alignment horizontal="center" vertical="center" wrapText="1"/>
    </xf>
    <xf numFmtId="166" fontId="12" fillId="0" borderId="153" xfId="0" applyNumberFormat="1" applyFont="1" applyBorder="1" applyAlignment="1">
      <alignment horizontal="center" vertical="center"/>
    </xf>
    <xf numFmtId="3" fontId="0" fillId="0" borderId="153" xfId="0" applyNumberFormat="1" applyBorder="1" applyAlignment="1">
      <alignment horizontal="center" vertical="center"/>
    </xf>
    <xf numFmtId="166" fontId="12" fillId="0" borderId="114" xfId="0" applyNumberFormat="1" applyFont="1" applyBorder="1" applyAlignment="1">
      <alignment horizontal="center" vertical="center"/>
    </xf>
    <xf numFmtId="0" fontId="12" fillId="0" borderId="112" xfId="0" applyFont="1" applyBorder="1" applyAlignment="1">
      <alignment horizontal="center" vertical="center"/>
    </xf>
    <xf numFmtId="2" fontId="0" fillId="0" borderId="154" xfId="0" applyNumberFormat="1" applyBorder="1" applyAlignment="1">
      <alignment horizontal="center" vertical="center"/>
    </xf>
    <xf numFmtId="0" fontId="104" fillId="76" borderId="0" xfId="0" applyFont="1" applyFill="1" applyAlignment="1">
      <alignment horizontal="center" vertical="center"/>
    </xf>
    <xf numFmtId="0" fontId="104" fillId="0" borderId="0" xfId="0" applyFont="1" applyAlignment="1">
      <alignment horizontal="center" vertical="center"/>
    </xf>
    <xf numFmtId="0" fontId="51" fillId="0" borderId="112" xfId="0" applyFont="1" applyBorder="1" applyAlignment="1">
      <alignment horizontal="center" vertical="center"/>
    </xf>
    <xf numFmtId="0" fontId="15" fillId="0" borderId="112" xfId="0" applyFont="1" applyBorder="1" applyAlignment="1">
      <alignment horizontal="center" wrapText="1"/>
    </xf>
    <xf numFmtId="0" fontId="51" fillId="0" borderId="7" xfId="0" applyFont="1" applyBorder="1" applyAlignment="1">
      <alignment horizontal="center" vertical="center"/>
    </xf>
    <xf numFmtId="0" fontId="70" fillId="61" borderId="4" xfId="0" applyFont="1" applyFill="1" applyBorder="1" applyAlignment="1">
      <alignment horizontal="center" vertical="center"/>
    </xf>
    <xf numFmtId="9" fontId="15" fillId="0" borderId="112" xfId="3" applyFont="1" applyFill="1" applyBorder="1" applyAlignment="1">
      <alignment horizontal="center" vertical="center"/>
    </xf>
    <xf numFmtId="9" fontId="51" fillId="0" borderId="7" xfId="3" applyFont="1" applyFill="1" applyBorder="1" applyAlignment="1">
      <alignment horizontal="center" vertical="center" wrapText="1"/>
    </xf>
    <xf numFmtId="9" fontId="51" fillId="0" borderId="112" xfId="3" applyFont="1" applyFill="1" applyBorder="1" applyAlignment="1">
      <alignment horizontal="center" vertical="center" wrapText="1"/>
    </xf>
    <xf numFmtId="0" fontId="19" fillId="0" borderId="0" xfId="0" applyFont="1" applyAlignment="1">
      <alignment vertical="top" wrapText="1"/>
    </xf>
    <xf numFmtId="0" fontId="0" fillId="0" borderId="0" xfId="0" applyAlignment="1">
      <alignment horizontal="center"/>
    </xf>
    <xf numFmtId="0" fontId="12" fillId="0" borderId="0" xfId="0" applyFont="1" applyAlignment="1">
      <alignment horizontal="left" vertical="top" wrapText="1"/>
    </xf>
    <xf numFmtId="0" fontId="0" fillId="0" borderId="0" xfId="0" applyAlignment="1">
      <alignment horizontal="center" vertical="center"/>
    </xf>
    <xf numFmtId="2" fontId="12" fillId="42" borderId="154" xfId="0" applyNumberFormat="1" applyFont="1" applyFill="1" applyBorder="1" applyAlignment="1">
      <alignment horizontal="center" vertical="center"/>
    </xf>
    <xf numFmtId="0" fontId="0" fillId="71" borderId="5" xfId="0" applyFill="1" applyBorder="1" applyAlignment="1">
      <alignment horizontal="center" vertical="center"/>
    </xf>
    <xf numFmtId="10" fontId="12" fillId="0" borderId="11" xfId="0" applyNumberFormat="1" applyFont="1" applyBorder="1" applyAlignment="1">
      <alignment horizontal="center" vertical="center" wrapText="1"/>
    </xf>
    <xf numFmtId="173" fontId="12" fillId="0" borderId="116" xfId="0" applyNumberFormat="1" applyFont="1" applyBorder="1" applyAlignment="1">
      <alignment horizontal="center" vertical="center"/>
    </xf>
    <xf numFmtId="37" fontId="12" fillId="0" borderId="153" xfId="1" applyNumberFormat="1" applyFont="1" applyFill="1" applyBorder="1" applyAlignment="1">
      <alignment horizontal="center" vertical="center"/>
    </xf>
    <xf numFmtId="0" fontId="70" fillId="61" borderId="49" xfId="0" applyFont="1" applyFill="1" applyBorder="1" applyAlignment="1">
      <alignment horizontal="center" vertical="center" wrapText="1"/>
    </xf>
    <xf numFmtId="0" fontId="70" fillId="61" borderId="50" xfId="0" applyFont="1" applyFill="1" applyBorder="1" applyAlignment="1">
      <alignment horizontal="center" vertical="center" wrapText="1"/>
    </xf>
    <xf numFmtId="0" fontId="30" fillId="39" borderId="115" xfId="0" applyFont="1" applyFill="1" applyBorder="1" applyAlignment="1">
      <alignment horizontal="center" vertical="center"/>
    </xf>
    <xf numFmtId="1" fontId="30" fillId="39" borderId="153" xfId="0" applyNumberFormat="1" applyFont="1" applyFill="1" applyBorder="1" applyAlignment="1">
      <alignment horizontal="center" vertical="center"/>
    </xf>
    <xf numFmtId="166" fontId="12" fillId="39" borderId="61" xfId="10" applyNumberFormat="1" applyFont="1" applyFill="1" applyBorder="1" applyAlignment="1">
      <alignment horizontal="center" vertical="center"/>
    </xf>
    <xf numFmtId="166" fontId="12" fillId="39" borderId="81" xfId="10" applyNumberFormat="1" applyFont="1" applyFill="1" applyBorder="1" applyAlignment="1">
      <alignment horizontal="center" vertical="center"/>
    </xf>
    <xf numFmtId="166" fontId="30" fillId="39" borderId="130" xfId="10" applyNumberFormat="1" applyFont="1" applyFill="1" applyBorder="1" applyAlignment="1">
      <alignment horizontal="center" vertical="center"/>
    </xf>
    <xf numFmtId="166" fontId="30" fillId="39" borderId="127" xfId="10" applyNumberFormat="1" applyFont="1" applyFill="1" applyBorder="1" applyAlignment="1">
      <alignment horizontal="center" vertical="center"/>
    </xf>
    <xf numFmtId="166" fontId="30" fillId="39" borderId="140" xfId="10" applyNumberFormat="1" applyFont="1" applyFill="1" applyBorder="1" applyAlignment="1">
      <alignment horizontal="center" vertical="center"/>
    </xf>
    <xf numFmtId="0" fontId="15" fillId="4" borderId="48" xfId="0" applyFont="1" applyFill="1" applyBorder="1" applyAlignment="1">
      <alignment horizontal="center" vertical="center"/>
    </xf>
    <xf numFmtId="4" fontId="15" fillId="4" borderId="50" xfId="0" applyNumberFormat="1" applyFont="1" applyFill="1" applyBorder="1" applyAlignment="1">
      <alignment horizontal="center"/>
    </xf>
    <xf numFmtId="3" fontId="47" fillId="0" borderId="49" xfId="0" applyNumberFormat="1" applyFont="1" applyBorder="1" applyAlignment="1">
      <alignment horizontal="center" vertical="center" wrapText="1"/>
    </xf>
    <xf numFmtId="4" fontId="47" fillId="0" borderId="49" xfId="0" applyNumberFormat="1" applyFont="1" applyBorder="1" applyAlignment="1">
      <alignment horizontal="center" vertical="center" wrapText="1"/>
    </xf>
    <xf numFmtId="4" fontId="47" fillId="0" borderId="94" xfId="0" applyNumberFormat="1" applyFont="1" applyBorder="1" applyAlignment="1">
      <alignment horizontal="center" vertical="center" wrapText="1"/>
    </xf>
    <xf numFmtId="10" fontId="12" fillId="0" borderId="154" xfId="0" applyNumberFormat="1" applyFont="1" applyBorder="1" applyAlignment="1">
      <alignment horizontal="center" vertical="center"/>
    </xf>
    <xf numFmtId="3" fontId="12" fillId="0" borderId="154" xfId="0" applyNumberFormat="1" applyFont="1" applyBorder="1" applyAlignment="1">
      <alignment horizontal="center" vertical="center"/>
    </xf>
    <xf numFmtId="180" fontId="12" fillId="0" borderId="154" xfId="0" applyNumberFormat="1" applyFont="1" applyBorder="1" applyAlignment="1">
      <alignment horizontal="center" vertical="center"/>
    </xf>
    <xf numFmtId="170" fontId="12" fillId="0" borderId="154" xfId="0" applyNumberFormat="1" applyFont="1" applyBorder="1" applyAlignment="1">
      <alignment horizontal="center" vertical="center"/>
    </xf>
    <xf numFmtId="175" fontId="12" fillId="0" borderId="116" xfId="0" applyNumberFormat="1" applyFont="1" applyBorder="1" applyAlignment="1">
      <alignment horizontal="center" vertical="center"/>
    </xf>
    <xf numFmtId="10" fontId="12" fillId="0" borderId="49" xfId="0" applyNumberFormat="1" applyFont="1" applyBorder="1" applyAlignment="1">
      <alignment horizontal="center" vertical="center"/>
    </xf>
    <xf numFmtId="3" fontId="30" fillId="0" borderId="154" xfId="0" applyNumberFormat="1" applyFont="1" applyBorder="1" applyAlignment="1">
      <alignment horizontal="center" vertical="center" wrapText="1"/>
    </xf>
    <xf numFmtId="0" fontId="70" fillId="61" borderId="48" xfId="0" applyFont="1" applyFill="1" applyBorder="1" applyAlignment="1">
      <alignment horizontal="center" vertical="center" wrapText="1"/>
    </xf>
    <xf numFmtId="0" fontId="70" fillId="61" borderId="94" xfId="0" applyFont="1" applyFill="1" applyBorder="1" applyAlignment="1">
      <alignment horizontal="center" vertical="center" wrapText="1"/>
    </xf>
    <xf numFmtId="0" fontId="70" fillId="61" borderId="111" xfId="0" applyFont="1" applyFill="1" applyBorder="1" applyAlignment="1">
      <alignment horizontal="center" vertical="center" wrapText="1"/>
    </xf>
    <xf numFmtId="0" fontId="0" fillId="4" borderId="3" xfId="0" applyFill="1" applyBorder="1"/>
    <xf numFmtId="0" fontId="51" fillId="0" borderId="4" xfId="0" applyFont="1" applyBorder="1" applyAlignment="1">
      <alignment horizontal="left" vertical="top" wrapText="1"/>
    </xf>
    <xf numFmtId="9" fontId="30" fillId="39" borderId="153" xfId="0" applyNumberFormat="1" applyFont="1" applyFill="1" applyBorder="1" applyAlignment="1">
      <alignment horizontal="center" vertical="center"/>
    </xf>
    <xf numFmtId="1" fontId="12" fillId="0" borderId="112" xfId="0" applyNumberFormat="1" applyFont="1" applyBorder="1" applyAlignment="1">
      <alignment horizontal="center" vertical="center"/>
    </xf>
    <xf numFmtId="0" fontId="16" fillId="4" borderId="0" xfId="0" applyFont="1" applyFill="1" applyAlignment="1">
      <alignment horizontal="left" vertical="center"/>
    </xf>
    <xf numFmtId="0" fontId="71" fillId="61" borderId="1" xfId="0" applyFont="1" applyFill="1" applyBorder="1" applyAlignment="1">
      <alignment horizontal="left" vertical="top" wrapText="1"/>
    </xf>
    <xf numFmtId="0" fontId="71" fillId="61" borderId="2" xfId="0" applyFont="1" applyFill="1" applyBorder="1" applyAlignment="1">
      <alignment horizontal="left" vertical="top" wrapText="1"/>
    </xf>
    <xf numFmtId="0" fontId="71" fillId="61" borderId="14" xfId="0" applyFont="1" applyFill="1" applyBorder="1" applyAlignment="1">
      <alignment horizontal="left" vertical="top" wrapText="1"/>
    </xf>
    <xf numFmtId="0" fontId="0" fillId="0" borderId="14" xfId="0" applyBorder="1" applyAlignment="1">
      <alignment horizontal="left" vertical="top" wrapText="1"/>
    </xf>
    <xf numFmtId="0" fontId="12" fillId="0" borderId="1" xfId="0" applyFont="1" applyBorder="1" applyAlignment="1">
      <alignment horizontal="left" vertical="top" wrapText="1"/>
    </xf>
    <xf numFmtId="0" fontId="12" fillId="0" borderId="2" xfId="0" applyFont="1" applyBorder="1" applyAlignment="1">
      <alignment horizontal="left" vertical="top" wrapText="1"/>
    </xf>
    <xf numFmtId="0" fontId="0" fillId="0" borderId="14" xfId="0" applyBorder="1" applyAlignment="1">
      <alignment wrapText="1"/>
    </xf>
    <xf numFmtId="0" fontId="75" fillId="68" borderId="1" xfId="0" applyFont="1" applyFill="1" applyBorder="1" applyAlignment="1">
      <alignment horizontal="center" vertical="center" wrapText="1"/>
    </xf>
    <xf numFmtId="0" fontId="30" fillId="68" borderId="2" xfId="0" applyFont="1" applyFill="1" applyBorder="1" applyAlignment="1">
      <alignment horizontal="center" vertical="center" wrapText="1"/>
    </xf>
    <xf numFmtId="0" fontId="12" fillId="0" borderId="14" xfId="0" applyFont="1" applyBorder="1" applyAlignment="1">
      <alignment horizontal="left" vertical="top" wrapText="1"/>
    </xf>
    <xf numFmtId="4" fontId="101" fillId="0" borderId="64" xfId="0" applyNumberFormat="1" applyFont="1" applyBorder="1" applyAlignment="1">
      <alignment horizontal="left" vertical="top" wrapText="1"/>
    </xf>
    <xf numFmtId="0" fontId="71" fillId="61" borderId="1" xfId="0" applyFont="1" applyFill="1" applyBorder="1" applyAlignment="1">
      <alignment horizontal="center" wrapText="1"/>
    </xf>
    <xf numFmtId="0" fontId="71" fillId="61" borderId="2" xfId="0" applyFont="1" applyFill="1" applyBorder="1" applyAlignment="1">
      <alignment horizontal="center" wrapText="1"/>
    </xf>
    <xf numFmtId="0" fontId="71" fillId="61" borderId="14" xfId="0" applyFont="1" applyFill="1" applyBorder="1" applyAlignment="1">
      <alignment horizontal="center" wrapText="1"/>
    </xf>
    <xf numFmtId="0" fontId="12" fillId="4" borderId="1" xfId="0" applyFont="1" applyFill="1" applyBorder="1" applyAlignment="1">
      <alignment horizontal="left" vertical="top" wrapText="1"/>
    </xf>
    <xf numFmtId="0" fontId="12" fillId="4" borderId="35" xfId="0" applyFont="1" applyFill="1" applyBorder="1" applyAlignment="1">
      <alignment horizontal="left" vertical="top" wrapText="1"/>
    </xf>
    <xf numFmtId="0" fontId="19" fillId="0" borderId="2" xfId="0" applyFont="1" applyBorder="1" applyAlignment="1">
      <alignment horizontal="left" vertical="top" wrapText="1"/>
    </xf>
    <xf numFmtId="0" fontId="19" fillId="0" borderId="14" xfId="0" applyFont="1" applyBorder="1" applyAlignment="1">
      <alignment horizontal="left" vertical="top" wrapText="1"/>
    </xf>
    <xf numFmtId="0" fontId="71" fillId="61" borderId="1" xfId="0" applyFont="1" applyFill="1" applyBorder="1" applyAlignment="1">
      <alignment horizontal="left" vertical="center" wrapText="1"/>
    </xf>
    <xf numFmtId="0" fontId="71" fillId="61" borderId="14" xfId="0" applyFont="1" applyFill="1" applyBorder="1" applyAlignment="1">
      <alignment horizontal="left" vertical="center" wrapText="1"/>
    </xf>
    <xf numFmtId="0" fontId="12" fillId="0" borderId="13" xfId="0" applyFont="1" applyBorder="1" applyAlignment="1">
      <alignment horizontal="left" vertical="top" wrapText="1"/>
    </xf>
    <xf numFmtId="0" fontId="12" fillId="0" borderId="95" xfId="0" applyFont="1" applyBorder="1" applyAlignment="1">
      <alignment horizontal="left" vertical="top" wrapText="1"/>
    </xf>
    <xf numFmtId="0" fontId="12" fillId="0" borderId="9" xfId="0" applyFont="1" applyBorder="1" applyAlignment="1">
      <alignment horizontal="left" vertical="top" wrapText="1"/>
    </xf>
    <xf numFmtId="0" fontId="12" fillId="0" borderId="16" xfId="0" applyFont="1" applyBorder="1" applyAlignment="1">
      <alignment horizontal="left" vertical="top" wrapText="1"/>
    </xf>
    <xf numFmtId="0" fontId="75" fillId="68" borderId="2" xfId="0" applyFont="1" applyFill="1" applyBorder="1" applyAlignment="1">
      <alignment horizontal="center" vertical="center" wrapText="1"/>
    </xf>
    <xf numFmtId="0" fontId="75" fillId="68" borderId="14" xfId="0" applyFont="1" applyFill="1" applyBorder="1" applyAlignment="1">
      <alignment horizontal="center" vertical="center" wrapText="1"/>
    </xf>
    <xf numFmtId="0" fontId="12" fillId="0" borderId="4" xfId="0" applyFont="1" applyBorder="1" applyAlignment="1">
      <alignment horizontal="left" vertical="top" wrapText="1"/>
    </xf>
    <xf numFmtId="0" fontId="12" fillId="0" borderId="17" xfId="0" applyFont="1" applyBorder="1" applyAlignment="1">
      <alignment horizontal="left" vertical="top" wrapText="1"/>
    </xf>
    <xf numFmtId="0" fontId="12" fillId="0" borderId="5" xfId="0" applyFont="1" applyBorder="1" applyAlignment="1">
      <alignment horizontal="left" vertical="top" wrapText="1"/>
    </xf>
    <xf numFmtId="0" fontId="71" fillId="61" borderId="9" xfId="0" applyFont="1" applyFill="1" applyBorder="1" applyAlignment="1">
      <alignment horizontal="left" vertical="center" wrapText="1"/>
    </xf>
    <xf numFmtId="0" fontId="0" fillId="0" borderId="10" xfId="0" applyBorder="1" applyAlignment="1">
      <alignment wrapText="1"/>
    </xf>
    <xf numFmtId="0" fontId="15" fillId="75" borderId="1" xfId="0" applyFont="1" applyFill="1" applyBorder="1" applyAlignment="1">
      <alignment horizontal="left" vertical="top" wrapText="1"/>
    </xf>
    <xf numFmtId="0" fontId="15" fillId="75" borderId="2" xfId="0" applyFont="1" applyFill="1" applyBorder="1" applyAlignment="1">
      <alignment horizontal="left" vertical="top" wrapText="1"/>
    </xf>
    <xf numFmtId="0" fontId="15" fillId="75" borderId="14" xfId="0" applyFont="1" applyFill="1" applyBorder="1" applyAlignment="1">
      <alignment horizontal="left" vertical="top" wrapText="1"/>
    </xf>
    <xf numFmtId="0" fontId="91" fillId="4" borderId="1" xfId="0" applyFont="1" applyFill="1" applyBorder="1" applyAlignment="1">
      <alignment horizontal="center" vertical="center" wrapText="1"/>
    </xf>
    <xf numFmtId="0" fontId="91" fillId="4" borderId="2" xfId="0" applyFont="1" applyFill="1" applyBorder="1" applyAlignment="1">
      <alignment horizontal="center" vertical="center" wrapText="1"/>
    </xf>
    <xf numFmtId="0" fontId="91" fillId="4" borderId="14" xfId="0" applyFont="1" applyFill="1" applyBorder="1" applyAlignment="1">
      <alignment horizontal="center" vertical="center" wrapText="1"/>
    </xf>
    <xf numFmtId="0" fontId="51" fillId="0" borderId="18" xfId="0" applyFont="1" applyBorder="1" applyAlignment="1">
      <alignment horizontal="left" vertical="top" wrapText="1"/>
    </xf>
    <xf numFmtId="0" fontId="12" fillId="0" borderId="67" xfId="0" applyFont="1" applyBorder="1" applyAlignment="1">
      <alignment horizontal="left" vertical="top" wrapText="1"/>
    </xf>
    <xf numFmtId="0" fontId="71" fillId="61" borderId="1" xfId="0" applyFont="1" applyFill="1" applyBorder="1" applyAlignment="1">
      <alignment horizontal="center" vertical="top" wrapText="1"/>
    </xf>
    <xf numFmtId="0" fontId="71" fillId="61" borderId="14" xfId="0" applyFont="1" applyFill="1" applyBorder="1" applyAlignment="1">
      <alignment horizontal="center" vertical="top" wrapText="1"/>
    </xf>
    <xf numFmtId="0" fontId="12" fillId="0" borderId="48" xfId="0" applyFont="1" applyBorder="1" applyAlignment="1">
      <alignment horizontal="left" vertical="top" wrapText="1"/>
    </xf>
    <xf numFmtId="0" fontId="12" fillId="0" borderId="49" xfId="0" applyFont="1" applyBorder="1" applyAlignment="1">
      <alignment horizontal="left" vertical="top" wrapText="1"/>
    </xf>
    <xf numFmtId="0" fontId="71" fillId="73" borderId="1" xfId="0" applyFont="1" applyFill="1" applyBorder="1" applyAlignment="1">
      <alignment horizontal="center" vertical="center" wrapText="1"/>
    </xf>
    <xf numFmtId="0" fontId="71" fillId="73" borderId="2" xfId="0" applyFont="1" applyFill="1" applyBorder="1" applyAlignment="1">
      <alignment horizontal="center" vertical="center" wrapText="1"/>
    </xf>
    <xf numFmtId="0" fontId="71" fillId="73" borderId="14" xfId="0" applyFont="1" applyFill="1" applyBorder="1" applyAlignment="1">
      <alignment horizontal="center" vertical="center" wrapText="1"/>
    </xf>
    <xf numFmtId="0" fontId="71" fillId="61" borderId="4" xfId="0" applyFont="1" applyFill="1" applyBorder="1" applyAlignment="1">
      <alignment horizontal="left" vertical="center" wrapText="1"/>
    </xf>
    <xf numFmtId="0" fontId="0" fillId="0" borderId="17" xfId="0" applyBorder="1" applyAlignment="1">
      <alignment wrapText="1"/>
    </xf>
    <xf numFmtId="0" fontId="0" fillId="0" borderId="5" xfId="0" applyBorder="1" applyAlignment="1">
      <alignment wrapText="1"/>
    </xf>
    <xf numFmtId="0" fontId="12" fillId="0" borderId="20" xfId="0" applyFont="1" applyBorder="1" applyAlignment="1">
      <alignment horizontal="left" vertical="top" wrapText="1"/>
    </xf>
    <xf numFmtId="0" fontId="12" fillId="0" borderId="24" xfId="0" applyFont="1" applyBorder="1" applyAlignment="1">
      <alignment horizontal="left" vertical="top" wrapText="1"/>
    </xf>
    <xf numFmtId="0" fontId="0" fillId="0" borderId="2" xfId="0" applyBorder="1" applyAlignment="1">
      <alignment horizontal="left" vertical="center" wrapText="1"/>
    </xf>
    <xf numFmtId="0" fontId="0" fillId="0" borderId="14" xfId="0" applyBorder="1" applyAlignment="1">
      <alignment horizontal="left" vertical="center" wrapText="1"/>
    </xf>
    <xf numFmtId="0" fontId="0" fillId="0" borderId="2" xfId="0" applyBorder="1" applyAlignment="1">
      <alignment wrapText="1"/>
    </xf>
    <xf numFmtId="0" fontId="12" fillId="36" borderId="1" xfId="0" applyFont="1" applyFill="1" applyBorder="1" applyAlignment="1">
      <alignment horizontal="left" vertical="top" wrapText="1"/>
    </xf>
    <xf numFmtId="0" fontId="12" fillId="36" borderId="14" xfId="0" applyFont="1" applyFill="1" applyBorder="1" applyAlignment="1">
      <alignment horizontal="left" vertical="top" wrapText="1"/>
    </xf>
    <xf numFmtId="2" fontId="73" fillId="0" borderId="112" xfId="0" applyNumberFormat="1" applyFont="1" applyBorder="1" applyAlignment="1">
      <alignment horizontal="center" vertical="center"/>
    </xf>
    <xf numFmtId="2" fontId="73" fillId="0" borderId="114" xfId="0" applyNumberFormat="1" applyFont="1" applyBorder="1" applyAlignment="1">
      <alignment horizontal="center" vertical="center"/>
    </xf>
    <xf numFmtId="0" fontId="70" fillId="61" borderId="16" xfId="0" applyFont="1" applyFill="1" applyBorder="1" applyAlignment="1">
      <alignment horizontal="center" vertical="center" wrapText="1"/>
    </xf>
    <xf numFmtId="0" fontId="70" fillId="61" borderId="10" xfId="0" applyFont="1" applyFill="1" applyBorder="1" applyAlignment="1">
      <alignment horizontal="center" vertical="center" wrapText="1"/>
    </xf>
    <xf numFmtId="0" fontId="92" fillId="68" borderId="13" xfId="2" applyFont="1" applyFill="1" applyBorder="1" applyAlignment="1" applyProtection="1">
      <alignment horizontal="left" vertical="center" wrapText="1"/>
    </xf>
    <xf numFmtId="0" fontId="92" fillId="68" borderId="64" xfId="2" applyFont="1" applyFill="1" applyBorder="1" applyAlignment="1" applyProtection="1">
      <alignment horizontal="left" vertical="center" wrapText="1"/>
    </xf>
    <xf numFmtId="0" fontId="92" fillId="68" borderId="65" xfId="2" applyFont="1" applyFill="1" applyBorder="1" applyAlignment="1" applyProtection="1">
      <alignment horizontal="left" vertical="center" wrapText="1"/>
    </xf>
    <xf numFmtId="0" fontId="92" fillId="68" borderId="4" xfId="2" applyFont="1" applyFill="1" applyBorder="1" applyAlignment="1" applyProtection="1">
      <alignment horizontal="left" vertical="center" wrapText="1"/>
    </xf>
    <xf numFmtId="0" fontId="92" fillId="68" borderId="5" xfId="2" applyFont="1" applyFill="1" applyBorder="1" applyAlignment="1" applyProtection="1">
      <alignment horizontal="left" vertical="center" wrapText="1"/>
    </xf>
    <xf numFmtId="0" fontId="92" fillId="68" borderId="1" xfId="2" applyFont="1" applyFill="1" applyBorder="1" applyAlignment="1" applyProtection="1">
      <alignment horizontal="left" vertical="center" wrapText="1"/>
    </xf>
    <xf numFmtId="0" fontId="92" fillId="68" borderId="14" xfId="2" applyFont="1" applyFill="1" applyBorder="1" applyAlignment="1" applyProtection="1">
      <alignment horizontal="left" vertical="center" wrapText="1"/>
    </xf>
    <xf numFmtId="2" fontId="73" fillId="0" borderId="154" xfId="0" applyNumberFormat="1" applyFont="1" applyBorder="1" applyAlignment="1">
      <alignment horizontal="center" vertical="center"/>
    </xf>
    <xf numFmtId="2" fontId="73" fillId="0" borderId="153" xfId="0" applyNumberFormat="1" applyFont="1" applyBorder="1" applyAlignment="1">
      <alignment horizontal="center" vertical="center"/>
    </xf>
    <xf numFmtId="0" fontId="12" fillId="0" borderId="35" xfId="0" applyFont="1" applyBorder="1" applyAlignment="1">
      <alignment horizontal="left" vertical="top" wrapText="1"/>
    </xf>
    <xf numFmtId="0" fontId="92" fillId="68" borderId="2" xfId="2" applyFont="1" applyFill="1" applyBorder="1" applyAlignment="1" applyProtection="1">
      <alignment horizontal="left" vertical="center" wrapText="1"/>
    </xf>
    <xf numFmtId="0" fontId="30" fillId="0" borderId="144" xfId="10" applyFont="1" applyBorder="1" applyAlignment="1">
      <alignment horizontal="center" vertical="center"/>
    </xf>
    <xf numFmtId="0" fontId="30" fillId="0" borderId="145" xfId="10" applyFont="1" applyBorder="1" applyAlignment="1">
      <alignment horizontal="center" vertical="center"/>
    </xf>
    <xf numFmtId="0" fontId="30" fillId="0" borderId="146" xfId="10" applyFont="1" applyBorder="1" applyAlignment="1">
      <alignment horizontal="center" vertical="center"/>
    </xf>
    <xf numFmtId="0" fontId="70" fillId="61" borderId="34" xfId="0" applyFont="1" applyFill="1" applyBorder="1" applyAlignment="1">
      <alignment horizontal="center" vertical="center" wrapText="1"/>
    </xf>
    <xf numFmtId="0" fontId="70" fillId="61" borderId="67" xfId="0" applyFont="1" applyFill="1" applyBorder="1" applyAlignment="1">
      <alignment horizontal="center" vertical="center" wrapText="1"/>
    </xf>
    <xf numFmtId="3" fontId="0" fillId="0" borderId="116" xfId="0" applyNumberFormat="1" applyBorder="1" applyAlignment="1">
      <alignment horizontal="center" vertical="center"/>
    </xf>
    <xf numFmtId="3" fontId="0" fillId="0" borderId="120" xfId="0" applyNumberFormat="1" applyBorder="1" applyAlignment="1">
      <alignment horizontal="center" vertical="center"/>
    </xf>
    <xf numFmtId="0" fontId="105" fillId="0" borderId="1" xfId="0" applyFont="1" applyBorder="1" applyAlignment="1">
      <alignment horizontal="left" vertical="top" wrapText="1"/>
    </xf>
    <xf numFmtId="0" fontId="12" fillId="0" borderId="64" xfId="0" applyFont="1" applyBorder="1" applyAlignment="1">
      <alignment horizontal="left" vertical="top" wrapText="1"/>
    </xf>
    <xf numFmtId="0" fontId="12" fillId="0" borderId="65" xfId="0" applyFont="1" applyBorder="1" applyAlignment="1">
      <alignment horizontal="left" vertical="top" wrapText="1"/>
    </xf>
    <xf numFmtId="0" fontId="30" fillId="0" borderId="143" xfId="10" applyFont="1" applyBorder="1" applyAlignment="1">
      <alignment horizontal="center" vertical="center"/>
    </xf>
    <xf numFmtId="0" fontId="30" fillId="0" borderId="141" xfId="10" applyFont="1" applyBorder="1" applyAlignment="1">
      <alignment horizontal="center" vertical="center"/>
    </xf>
    <xf numFmtId="0" fontId="30" fillId="0" borderId="142" xfId="10" applyFont="1" applyBorder="1" applyAlignment="1">
      <alignment horizontal="center" vertical="center"/>
    </xf>
    <xf numFmtId="0" fontId="30" fillId="0" borderId="157" xfId="10" applyFont="1" applyBorder="1" applyAlignment="1">
      <alignment horizontal="center" vertical="center"/>
    </xf>
    <xf numFmtId="0" fontId="30" fillId="0" borderId="158" xfId="10" applyFont="1" applyBorder="1" applyAlignment="1">
      <alignment horizontal="center" vertical="center"/>
    </xf>
    <xf numFmtId="0" fontId="30" fillId="0" borderId="159" xfId="10" applyFont="1" applyBorder="1" applyAlignment="1">
      <alignment horizontal="center" vertical="center"/>
    </xf>
    <xf numFmtId="0" fontId="12" fillId="4" borderId="2" xfId="0" applyFont="1" applyFill="1" applyBorder="1" applyAlignment="1">
      <alignment horizontal="left" vertical="top" wrapText="1"/>
    </xf>
    <xf numFmtId="0" fontId="12" fillId="4" borderId="14" xfId="0" applyFont="1" applyFill="1" applyBorder="1" applyAlignment="1">
      <alignment horizontal="left" vertical="top" wrapText="1"/>
    </xf>
    <xf numFmtId="0" fontId="70" fillId="61" borderId="1" xfId="110" applyFont="1" applyFill="1" applyBorder="1" applyAlignment="1">
      <alignment horizontal="center" vertical="center"/>
    </xf>
    <xf numFmtId="0" fontId="70" fillId="61" borderId="2" xfId="110" applyFont="1" applyFill="1" applyBorder="1" applyAlignment="1">
      <alignment horizontal="center" vertical="center"/>
    </xf>
    <xf numFmtId="0" fontId="70" fillId="61" borderId="35" xfId="110" applyFont="1" applyFill="1" applyBorder="1" applyAlignment="1">
      <alignment horizontal="center" vertical="center"/>
    </xf>
    <xf numFmtId="0" fontId="15" fillId="4" borderId="3" xfId="0" applyFont="1" applyFill="1" applyBorder="1" applyAlignment="1">
      <alignment horizontal="left" vertical="center" wrapText="1"/>
    </xf>
    <xf numFmtId="0" fontId="15" fillId="4" borderId="0" xfId="0" applyFont="1" applyFill="1" applyAlignment="1">
      <alignment horizontal="left" vertical="center" wrapText="1"/>
    </xf>
    <xf numFmtId="0" fontId="30" fillId="0" borderId="93" xfId="10" applyFont="1" applyBorder="1" applyAlignment="1">
      <alignment horizontal="center" vertical="center"/>
    </xf>
    <xf numFmtId="0" fontId="30" fillId="0" borderId="138" xfId="10" applyFont="1" applyBorder="1" applyAlignment="1">
      <alignment horizontal="center" vertical="center"/>
    </xf>
    <xf numFmtId="0" fontId="30" fillId="0" borderId="121" xfId="10" applyFont="1" applyBorder="1" applyAlignment="1">
      <alignment horizontal="center" vertical="center"/>
    </xf>
    <xf numFmtId="0" fontId="71" fillId="60" borderId="1" xfId="19" applyFont="1" applyFill="1" applyBorder="1" applyAlignment="1">
      <alignment wrapText="1"/>
    </xf>
    <xf numFmtId="0" fontId="12" fillId="39" borderId="24" xfId="19" applyFill="1" applyBorder="1" applyAlignment="1">
      <alignment horizontal="center" vertical="center" wrapText="1"/>
    </xf>
    <xf numFmtId="0" fontId="12" fillId="39" borderId="22" xfId="19" applyFill="1" applyBorder="1" applyAlignment="1">
      <alignment horizontal="center" vertical="center" wrapText="1"/>
    </xf>
    <xf numFmtId="0" fontId="12" fillId="39" borderId="118" xfId="19" applyFill="1" applyBorder="1" applyAlignment="1">
      <alignment horizontal="center" vertical="center" wrapText="1"/>
    </xf>
    <xf numFmtId="0" fontId="12" fillId="0" borderId="7" xfId="0" applyFont="1" applyBorder="1" applyAlignment="1">
      <alignment horizontal="center" vertical="center" wrapText="1"/>
    </xf>
    <xf numFmtId="0" fontId="15" fillId="38" borderId="20" xfId="19" applyFont="1" applyFill="1" applyBorder="1" applyAlignment="1">
      <alignment horizontal="center" vertical="center" wrapText="1"/>
    </xf>
    <xf numFmtId="0" fontId="0" fillId="0" borderId="23" xfId="0" applyBorder="1" applyAlignment="1">
      <alignment horizontal="center" vertical="center" wrapText="1"/>
    </xf>
    <xf numFmtId="0" fontId="0" fillId="0" borderId="48" xfId="0" applyBorder="1" applyAlignment="1">
      <alignment horizontal="center" vertical="center" wrapText="1"/>
    </xf>
    <xf numFmtId="0" fontId="12" fillId="40" borderId="22" xfId="19" applyFill="1" applyBorder="1" applyAlignment="1">
      <alignment horizontal="center" vertical="center" wrapText="1"/>
    </xf>
    <xf numFmtId="0" fontId="12" fillId="0" borderId="22" xfId="0" applyFont="1" applyBorder="1" applyAlignment="1">
      <alignment horizontal="center" vertical="center" wrapText="1"/>
    </xf>
    <xf numFmtId="0" fontId="12" fillId="40" borderId="118" xfId="19" applyFill="1" applyBorder="1" applyAlignment="1">
      <alignment horizontal="center" vertical="center" wrapText="1"/>
    </xf>
    <xf numFmtId="0" fontId="15" fillId="40" borderId="20" xfId="19" applyFont="1" applyFill="1" applyBorder="1" applyAlignment="1">
      <alignment horizontal="center" vertical="center" wrapText="1"/>
    </xf>
    <xf numFmtId="0" fontId="12" fillId="0" borderId="23" xfId="0" applyFont="1" applyBorder="1" applyAlignment="1">
      <alignment horizontal="center" vertical="center" wrapText="1"/>
    </xf>
    <xf numFmtId="0" fontId="12" fillId="0" borderId="48" xfId="0" applyFont="1" applyBorder="1" applyAlignment="1">
      <alignment horizontal="center" vertical="center" wrapText="1"/>
    </xf>
    <xf numFmtId="0" fontId="21" fillId="35" borderId="11" xfId="19" applyFont="1" applyFill="1" applyBorder="1" applyAlignment="1">
      <alignment horizontal="left" vertical="top" wrapText="1"/>
    </xf>
    <xf numFmtId="0" fontId="21" fillId="0" borderId="154" xfId="0" applyFont="1" applyBorder="1" applyAlignment="1">
      <alignment horizontal="left" vertical="top" wrapText="1"/>
    </xf>
    <xf numFmtId="0" fontId="21" fillId="0" borderId="153" xfId="0" applyFont="1" applyBorder="1" applyAlignment="1">
      <alignment horizontal="left" vertical="top" wrapText="1"/>
    </xf>
    <xf numFmtId="0" fontId="15" fillId="41" borderId="20" xfId="19" applyFont="1" applyFill="1" applyBorder="1" applyAlignment="1">
      <alignment horizontal="center" vertical="center" wrapText="1"/>
    </xf>
    <xf numFmtId="0" fontId="15" fillId="41" borderId="23" xfId="19" applyFont="1" applyFill="1" applyBorder="1" applyAlignment="1">
      <alignment horizontal="center" vertical="center" wrapText="1"/>
    </xf>
    <xf numFmtId="0" fontId="15" fillId="41" borderId="48" xfId="19" applyFont="1" applyFill="1" applyBorder="1" applyAlignment="1">
      <alignment horizontal="center" vertical="center" wrapText="1"/>
    </xf>
    <xf numFmtId="0" fontId="15" fillId="35" borderId="1" xfId="19" applyFont="1" applyFill="1" applyBorder="1" applyAlignment="1">
      <alignment horizontal="right" wrapText="1"/>
    </xf>
    <xf numFmtId="0" fontId="15" fillId="35" borderId="2" xfId="19" applyFont="1" applyFill="1" applyBorder="1" applyAlignment="1">
      <alignment horizontal="right" wrapText="1"/>
    </xf>
    <xf numFmtId="0" fontId="0" fillId="0" borderId="35" xfId="0" applyBorder="1" applyAlignment="1">
      <alignment horizontal="right" wrapText="1"/>
    </xf>
    <xf numFmtId="0" fontId="70" fillId="60" borderId="24" xfId="19" applyFont="1" applyFill="1" applyBorder="1" applyAlignment="1">
      <alignment horizontal="center" vertical="center" wrapText="1"/>
    </xf>
    <xf numFmtId="0" fontId="0" fillId="0" borderId="49" xfId="0" applyBorder="1" applyAlignment="1">
      <alignment horizontal="center" vertical="center" wrapText="1"/>
    </xf>
    <xf numFmtId="0" fontId="15" fillId="40" borderId="23" xfId="19" applyFont="1" applyFill="1" applyBorder="1" applyAlignment="1">
      <alignment horizontal="center" vertical="center" wrapText="1"/>
    </xf>
    <xf numFmtId="0" fontId="70" fillId="60" borderId="20" xfId="19" applyFont="1" applyFill="1" applyBorder="1" applyAlignment="1">
      <alignment horizontal="center" vertical="center" wrapText="1"/>
    </xf>
    <xf numFmtId="0" fontId="75" fillId="0" borderId="13" xfId="19" applyFont="1" applyBorder="1" applyAlignment="1">
      <alignment horizontal="center" vertical="center" wrapText="1"/>
    </xf>
    <xf numFmtId="0" fontId="75" fillId="0" borderId="64" xfId="19" applyFont="1" applyBorder="1" applyAlignment="1">
      <alignment horizontal="center" vertical="center" wrapText="1"/>
    </xf>
    <xf numFmtId="0" fontId="75" fillId="0" borderId="65" xfId="19" applyFont="1" applyBorder="1" applyAlignment="1">
      <alignment horizontal="center" vertical="center" wrapText="1"/>
    </xf>
    <xf numFmtId="0" fontId="12" fillId="4" borderId="34" xfId="0" applyFont="1" applyFill="1" applyBorder="1" applyAlignment="1">
      <alignment horizontal="center" vertical="top" wrapText="1"/>
    </xf>
    <xf numFmtId="0" fontId="12" fillId="4" borderId="19" xfId="0" applyFont="1" applyFill="1" applyBorder="1" applyAlignment="1">
      <alignment horizontal="center" vertical="top" wrapText="1"/>
    </xf>
    <xf numFmtId="0" fontId="12" fillId="4" borderId="82" xfId="0" applyFont="1" applyFill="1" applyBorder="1" applyAlignment="1">
      <alignment horizontal="center" vertical="top" wrapText="1"/>
    </xf>
    <xf numFmtId="0" fontId="12" fillId="4" borderId="108" xfId="0" applyFont="1" applyFill="1" applyBorder="1" applyAlignment="1">
      <alignment horizontal="center" vertical="top" wrapText="1"/>
    </xf>
    <xf numFmtId="0" fontId="12" fillId="4" borderId="0" xfId="0" applyFont="1" applyFill="1" applyAlignment="1">
      <alignment horizontal="center" vertical="top" wrapText="1"/>
    </xf>
    <xf numFmtId="0" fontId="12" fillId="4" borderId="91" xfId="0" applyFont="1" applyFill="1" applyBorder="1" applyAlignment="1">
      <alignment horizontal="center" vertical="top" wrapText="1"/>
    </xf>
    <xf numFmtId="0" fontId="70" fillId="61" borderId="2" xfId="0" applyFont="1" applyFill="1" applyBorder="1" applyAlignment="1">
      <alignment wrapText="1"/>
    </xf>
    <xf numFmtId="0" fontId="70" fillId="61" borderId="14" xfId="0" applyFont="1" applyFill="1" applyBorder="1" applyAlignment="1">
      <alignment wrapText="1"/>
    </xf>
    <xf numFmtId="0" fontId="47" fillId="38" borderId="6" xfId="19" applyFont="1" applyFill="1" applyBorder="1" applyAlignment="1">
      <alignment horizontal="center" vertical="center"/>
    </xf>
    <xf numFmtId="0" fontId="47" fillId="38" borderId="7" xfId="19" applyFont="1" applyFill="1" applyBorder="1" applyAlignment="1">
      <alignment horizontal="center" vertical="center"/>
    </xf>
    <xf numFmtId="0" fontId="47" fillId="40" borderId="113" xfId="19" applyFont="1" applyFill="1" applyBorder="1" applyAlignment="1">
      <alignment horizontal="center" vertical="center"/>
    </xf>
    <xf numFmtId="0" fontId="47" fillId="40" borderId="112" xfId="19" applyFont="1" applyFill="1" applyBorder="1" applyAlignment="1">
      <alignment horizontal="center" vertical="center"/>
    </xf>
    <xf numFmtId="0" fontId="47" fillId="41" borderId="113" xfId="19" applyFont="1" applyFill="1" applyBorder="1" applyAlignment="1">
      <alignment horizontal="center" vertical="center"/>
    </xf>
    <xf numFmtId="0" fontId="47" fillId="41" borderId="112" xfId="19" applyFont="1" applyFill="1" applyBorder="1" applyAlignment="1">
      <alignment horizontal="center" vertical="center"/>
    </xf>
    <xf numFmtId="0" fontId="15" fillId="35" borderId="11" xfId="19" applyFont="1" applyFill="1" applyBorder="1" applyAlignment="1">
      <alignment horizontal="center" vertical="center"/>
    </xf>
    <xf numFmtId="0" fontId="15" fillId="35" borderId="154" xfId="19" applyFont="1" applyFill="1" applyBorder="1" applyAlignment="1">
      <alignment horizontal="center" vertical="center"/>
    </xf>
    <xf numFmtId="0" fontId="12" fillId="4" borderId="56" xfId="0" applyFont="1" applyFill="1" applyBorder="1" applyAlignment="1">
      <alignment horizontal="left" vertical="top" wrapText="1"/>
    </xf>
    <xf numFmtId="0" fontId="12" fillId="0" borderId="51" xfId="0" applyFont="1" applyBorder="1" applyAlignment="1">
      <alignment horizontal="left" vertical="top" wrapText="1"/>
    </xf>
    <xf numFmtId="0" fontId="12" fillId="0" borderId="52" xfId="0" applyFont="1" applyBorder="1" applyAlignment="1">
      <alignment horizontal="left" vertical="top" wrapText="1"/>
    </xf>
    <xf numFmtId="0" fontId="71" fillId="60" borderId="13" xfId="19" applyFont="1" applyFill="1" applyBorder="1" applyAlignment="1">
      <alignment horizontal="left" wrapText="1"/>
    </xf>
    <xf numFmtId="0" fontId="71" fillId="60" borderId="64" xfId="19" applyFont="1" applyFill="1" applyBorder="1" applyAlignment="1">
      <alignment horizontal="left" wrapText="1"/>
    </xf>
    <xf numFmtId="0" fontId="71" fillId="60" borderId="65" xfId="19" applyFont="1" applyFill="1" applyBorder="1" applyAlignment="1">
      <alignment horizontal="left" wrapText="1"/>
    </xf>
    <xf numFmtId="0" fontId="70" fillId="60" borderId="4" xfId="19" applyFont="1" applyFill="1" applyBorder="1" applyAlignment="1">
      <alignment horizontal="center" vertical="center" wrapText="1"/>
    </xf>
    <xf numFmtId="0" fontId="70" fillId="60" borderId="17" xfId="19" applyFont="1" applyFill="1" applyBorder="1" applyAlignment="1">
      <alignment horizontal="center" vertical="center" wrapText="1"/>
    </xf>
    <xf numFmtId="0" fontId="71" fillId="61" borderId="56" xfId="0" applyFont="1" applyFill="1" applyBorder="1" applyAlignment="1">
      <alignment horizontal="left" vertical="top" wrapText="1"/>
    </xf>
    <xf numFmtId="0" fontId="52" fillId="61" borderId="51" xfId="0" applyFont="1" applyFill="1" applyBorder="1" applyAlignment="1">
      <alignment horizontal="left" vertical="top" wrapText="1"/>
    </xf>
    <xf numFmtId="0" fontId="52" fillId="61" borderId="52" xfId="0" applyFont="1" applyFill="1" applyBorder="1" applyAlignment="1">
      <alignment horizontal="left" vertical="top" wrapText="1"/>
    </xf>
    <xf numFmtId="0" fontId="12" fillId="0" borderId="155" xfId="0" applyFont="1" applyBorder="1" applyAlignment="1">
      <alignment horizontal="center" vertical="center" wrapText="1"/>
    </xf>
    <xf numFmtId="0" fontId="0" fillId="0" borderId="155" xfId="0" applyBorder="1" applyAlignment="1">
      <alignment horizontal="center" wrapText="1"/>
    </xf>
    <xf numFmtId="0" fontId="0" fillId="0" borderId="119" xfId="0" applyBorder="1" applyAlignment="1">
      <alignment horizontal="center" wrapText="1"/>
    </xf>
    <xf numFmtId="0" fontId="71" fillId="72" borderId="13" xfId="19" applyFont="1" applyFill="1" applyBorder="1" applyAlignment="1">
      <alignment horizontal="left" wrapText="1"/>
    </xf>
    <xf numFmtId="0" fontId="71" fillId="72" borderId="64" xfId="19" applyFont="1" applyFill="1" applyBorder="1" applyAlignment="1">
      <alignment horizontal="left" wrapText="1"/>
    </xf>
    <xf numFmtId="0" fontId="71" fillId="72" borderId="65" xfId="19" applyFont="1" applyFill="1" applyBorder="1" applyAlignment="1">
      <alignment horizontal="left" wrapText="1"/>
    </xf>
    <xf numFmtId="0" fontId="70" fillId="72" borderId="4" xfId="19" applyFont="1" applyFill="1" applyBorder="1" applyAlignment="1">
      <alignment horizontal="center" vertical="center" wrapText="1"/>
    </xf>
    <xf numFmtId="0" fontId="70" fillId="72" borderId="17" xfId="19" applyFont="1" applyFill="1" applyBorder="1" applyAlignment="1">
      <alignment horizontal="center" vertical="center" wrapText="1"/>
    </xf>
    <xf numFmtId="0" fontId="21" fillId="0" borderId="70" xfId="19" applyFont="1" applyBorder="1" applyAlignment="1">
      <alignment horizontal="left" vertical="top" wrapText="1"/>
    </xf>
    <xf numFmtId="0" fontId="0" fillId="0" borderId="155" xfId="0" applyBorder="1" applyAlignment="1">
      <alignment horizontal="left" vertical="top" wrapText="1"/>
    </xf>
    <xf numFmtId="0" fontId="0" fillId="0" borderId="119" xfId="0" applyBorder="1" applyAlignment="1">
      <alignment horizontal="left" vertical="top" wrapText="1"/>
    </xf>
    <xf numFmtId="0" fontId="12" fillId="39" borderId="20" xfId="19" applyFill="1" applyBorder="1" applyAlignment="1">
      <alignment horizontal="center" vertical="center" wrapText="1"/>
    </xf>
    <xf numFmtId="0" fontId="0" fillId="39" borderId="23" xfId="0" applyFill="1" applyBorder="1" applyAlignment="1">
      <alignment horizontal="center" vertical="center" wrapText="1"/>
    </xf>
    <xf numFmtId="0" fontId="0" fillId="39" borderId="48" xfId="0" applyFill="1" applyBorder="1" applyAlignment="1">
      <alignment horizontal="center" vertical="center" wrapText="1"/>
    </xf>
    <xf numFmtId="0" fontId="52" fillId="61" borderId="2" xfId="0" applyFont="1" applyFill="1" applyBorder="1" applyAlignment="1">
      <alignment wrapText="1"/>
    </xf>
    <xf numFmtId="0" fontId="52" fillId="61" borderId="14" xfId="0" applyFont="1" applyFill="1" applyBorder="1" applyAlignment="1">
      <alignment wrapText="1"/>
    </xf>
    <xf numFmtId="0" fontId="47" fillId="38" borderId="66" xfId="19" applyFont="1" applyFill="1" applyBorder="1" applyAlignment="1">
      <alignment horizontal="center" vertical="center" wrapText="1"/>
    </xf>
    <xf numFmtId="0" fontId="15" fillId="39" borderId="23" xfId="0" applyFont="1" applyFill="1" applyBorder="1" applyAlignment="1">
      <alignment horizontal="center" vertical="center" wrapText="1"/>
    </xf>
    <xf numFmtId="0" fontId="47" fillId="40" borderId="66" xfId="19" applyFont="1" applyFill="1" applyBorder="1" applyAlignment="1">
      <alignment horizontal="center" vertical="center" wrapText="1"/>
    </xf>
    <xf numFmtId="0" fontId="47" fillId="36" borderId="6" xfId="0" applyFont="1" applyFill="1" applyBorder="1" applyAlignment="1">
      <alignment horizontal="center" vertical="center" wrapText="1"/>
    </xf>
    <xf numFmtId="0" fontId="47" fillId="41" borderId="66" xfId="19" applyFont="1" applyFill="1" applyBorder="1" applyAlignment="1">
      <alignment horizontal="center" vertical="center" wrapText="1"/>
    </xf>
    <xf numFmtId="0" fontId="47" fillId="41" borderId="23" xfId="19" applyFont="1" applyFill="1" applyBorder="1" applyAlignment="1">
      <alignment horizontal="center" vertical="center" wrapText="1"/>
    </xf>
    <xf numFmtId="0" fontId="47" fillId="37" borderId="23" xfId="0" applyFont="1" applyFill="1" applyBorder="1" applyAlignment="1">
      <alignment horizontal="center" vertical="center" wrapText="1"/>
    </xf>
    <xf numFmtId="0" fontId="47" fillId="37" borderId="6" xfId="0" applyFont="1" applyFill="1" applyBorder="1" applyAlignment="1">
      <alignment horizontal="center" vertical="center" wrapText="1"/>
    </xf>
    <xf numFmtId="0" fontId="47" fillId="35" borderId="70" xfId="19" applyFont="1" applyFill="1" applyBorder="1" applyAlignment="1">
      <alignment horizontal="right" wrapText="1"/>
    </xf>
    <xf numFmtId="0" fontId="47" fillId="0" borderId="155" xfId="0" applyFont="1" applyBorder="1" applyAlignment="1">
      <alignment horizontal="right" wrapText="1"/>
    </xf>
    <xf numFmtId="0" fontId="70" fillId="61" borderId="24" xfId="0" applyFont="1" applyFill="1" applyBorder="1" applyAlignment="1">
      <alignment horizontal="center" vertical="center" wrapText="1"/>
    </xf>
    <xf numFmtId="0" fontId="70" fillId="61" borderId="49" xfId="0" applyFont="1" applyFill="1" applyBorder="1" applyAlignment="1">
      <alignment horizontal="center" vertical="center" wrapText="1"/>
    </xf>
    <xf numFmtId="0" fontId="70" fillId="61" borderId="21" xfId="0" applyFont="1" applyFill="1" applyBorder="1" applyAlignment="1">
      <alignment horizontal="center" vertical="center" wrapText="1"/>
    </xf>
    <xf numFmtId="0" fontId="70" fillId="61" borderId="50" xfId="0" applyFont="1" applyFill="1" applyBorder="1" applyAlignment="1">
      <alignment horizontal="center" vertical="center" wrapText="1"/>
    </xf>
    <xf numFmtId="0" fontId="30" fillId="35" borderId="64" xfId="19" applyFont="1" applyFill="1" applyBorder="1" applyAlignment="1">
      <alignment horizontal="left" wrapText="1"/>
    </xf>
    <xf numFmtId="0" fontId="30" fillId="35" borderId="0" xfId="19" applyFont="1" applyFill="1" applyAlignment="1">
      <alignment horizontal="left" wrapText="1"/>
    </xf>
    <xf numFmtId="0" fontId="71" fillId="60" borderId="1" xfId="19" applyFont="1" applyFill="1" applyBorder="1" applyAlignment="1">
      <alignment horizontal="left" wrapText="1"/>
    </xf>
    <xf numFmtId="0" fontId="71" fillId="60" borderId="2" xfId="19" applyFont="1" applyFill="1" applyBorder="1" applyAlignment="1">
      <alignment horizontal="left" wrapText="1"/>
    </xf>
    <xf numFmtId="0" fontId="71" fillId="60" borderId="14" xfId="19" applyFont="1" applyFill="1" applyBorder="1" applyAlignment="1">
      <alignment horizontal="left" wrapText="1"/>
    </xf>
    <xf numFmtId="0" fontId="47" fillId="40" borderId="23" xfId="19" applyFont="1" applyFill="1" applyBorder="1" applyAlignment="1">
      <alignment horizontal="center" vertical="center" wrapText="1"/>
    </xf>
    <xf numFmtId="0" fontId="71" fillId="60" borderId="1" xfId="19" applyFont="1" applyFill="1" applyBorder="1" applyAlignment="1">
      <alignment horizontal="left"/>
    </xf>
    <xf numFmtId="0" fontId="71" fillId="60" borderId="2" xfId="19" applyFont="1" applyFill="1" applyBorder="1" applyAlignment="1">
      <alignment horizontal="left"/>
    </xf>
    <xf numFmtId="0" fontId="47" fillId="62" borderId="6" xfId="19" applyFont="1" applyFill="1" applyBorder="1" applyAlignment="1">
      <alignment horizontal="center" vertical="center"/>
    </xf>
    <xf numFmtId="0" fontId="47" fillId="62" borderId="7" xfId="19" applyFont="1" applyFill="1" applyBorder="1" applyAlignment="1">
      <alignment horizontal="center" vertical="center"/>
    </xf>
    <xf numFmtId="0" fontId="71" fillId="72" borderId="1" xfId="19" applyFont="1" applyFill="1" applyBorder="1" applyAlignment="1">
      <alignment horizontal="left"/>
    </xf>
    <xf numFmtId="0" fontId="71" fillId="72" borderId="2" xfId="19" applyFont="1" applyFill="1" applyBorder="1" applyAlignment="1">
      <alignment horizontal="left"/>
    </xf>
    <xf numFmtId="0" fontId="71" fillId="61" borderId="2" xfId="0" applyFont="1" applyFill="1" applyBorder="1" applyAlignment="1">
      <alignment horizontal="left" vertical="center" wrapText="1"/>
    </xf>
    <xf numFmtId="0" fontId="70" fillId="61" borderId="39" xfId="110" applyFont="1" applyFill="1" applyBorder="1" applyAlignment="1">
      <alignment horizontal="center" vertical="center"/>
    </xf>
    <xf numFmtId="0" fontId="70" fillId="61" borderId="137" xfId="110" applyFont="1" applyFill="1" applyBorder="1" applyAlignment="1">
      <alignment horizontal="center" vertical="center"/>
    </xf>
    <xf numFmtId="0" fontId="20" fillId="0" borderId="55" xfId="2" applyBorder="1" applyAlignment="1" applyProtection="1">
      <alignment horizontal="center" vertical="center" wrapText="1"/>
    </xf>
    <xf numFmtId="0" fontId="20" fillId="0" borderId="15" xfId="2" applyBorder="1" applyAlignment="1" applyProtection="1">
      <alignment horizontal="center" vertical="center" wrapText="1"/>
    </xf>
    <xf numFmtId="0" fontId="20" fillId="0" borderId="54" xfId="2" applyBorder="1" applyAlignment="1" applyProtection="1">
      <alignment horizontal="center" vertical="center" wrapText="1"/>
    </xf>
    <xf numFmtId="0" fontId="20" fillId="0" borderId="21" xfId="2" applyBorder="1" applyAlignment="1" applyProtection="1">
      <alignment horizontal="center" vertical="center" wrapText="1"/>
    </xf>
    <xf numFmtId="0" fontId="20" fillId="0" borderId="38" xfId="2" applyBorder="1" applyAlignment="1" applyProtection="1">
      <alignment horizontal="center" vertical="center" wrapText="1"/>
    </xf>
    <xf numFmtId="0" fontId="20" fillId="0" borderId="50" xfId="2" applyBorder="1" applyAlignment="1" applyProtection="1">
      <alignment horizontal="center" vertical="center" wrapText="1"/>
    </xf>
    <xf numFmtId="0" fontId="21" fillId="4" borderId="56" xfId="0" applyFont="1" applyFill="1" applyBorder="1" applyAlignment="1">
      <alignment horizontal="left" vertical="center" wrapText="1"/>
    </xf>
    <xf numFmtId="0" fontId="21" fillId="0" borderId="51" xfId="0" applyFont="1" applyBorder="1" applyAlignment="1">
      <alignment horizontal="left" vertical="center" wrapText="1"/>
    </xf>
    <xf numFmtId="0" fontId="21" fillId="0" borderId="52" xfId="0" applyFont="1" applyBorder="1" applyAlignment="1">
      <alignment horizontal="left" vertical="center" wrapText="1"/>
    </xf>
    <xf numFmtId="0" fontId="71" fillId="61" borderId="17" xfId="0" applyFont="1" applyFill="1" applyBorder="1" applyAlignment="1">
      <alignment horizontal="left" vertical="center" wrapText="1"/>
    </xf>
    <xf numFmtId="0" fontId="72" fillId="61" borderId="5" xfId="0" applyFont="1" applyFill="1" applyBorder="1" applyAlignment="1">
      <alignment horizontal="left" vertical="center" wrapText="1"/>
    </xf>
    <xf numFmtId="0" fontId="71" fillId="61" borderId="4" xfId="0" applyFont="1" applyFill="1" applyBorder="1" applyAlignment="1">
      <alignment wrapText="1"/>
    </xf>
    <xf numFmtId="0" fontId="70" fillId="61" borderId="18" xfId="110" applyFont="1" applyFill="1" applyBorder="1" applyAlignment="1">
      <alignment horizontal="center" vertical="center" wrapText="1"/>
    </xf>
    <xf numFmtId="0" fontId="70" fillId="61" borderId="67" xfId="110" applyFont="1" applyFill="1" applyBorder="1" applyAlignment="1">
      <alignment horizontal="center" vertical="center" wrapText="1"/>
    </xf>
    <xf numFmtId="0" fontId="30" fillId="0" borderId="57" xfId="110" applyFont="1" applyBorder="1" applyAlignment="1">
      <alignment horizontal="center" vertical="center" wrapText="1"/>
    </xf>
    <xf numFmtId="0" fontId="30" fillId="0" borderId="117" xfId="110" applyFont="1" applyBorder="1" applyAlignment="1">
      <alignment horizontal="center" vertical="center" wrapText="1"/>
    </xf>
    <xf numFmtId="0" fontId="71" fillId="61" borderId="1" xfId="0" applyFont="1" applyFill="1" applyBorder="1" applyAlignment="1">
      <alignment horizontal="left" wrapText="1"/>
    </xf>
    <xf numFmtId="0" fontId="71" fillId="61" borderId="2" xfId="0" applyFont="1" applyFill="1" applyBorder="1" applyAlignment="1">
      <alignment horizontal="left" wrapText="1"/>
    </xf>
    <xf numFmtId="0" fontId="30" fillId="0" borderId="57" xfId="0" applyFont="1" applyBorder="1" applyAlignment="1">
      <alignment horizontal="center" vertical="center"/>
    </xf>
    <xf numFmtId="0" fontId="30" fillId="0" borderId="117" xfId="0" applyFont="1" applyBorder="1" applyAlignment="1">
      <alignment horizontal="center" vertical="center"/>
    </xf>
    <xf numFmtId="0" fontId="47" fillId="0" borderId="70" xfId="0" applyFont="1" applyBorder="1" applyAlignment="1">
      <alignment horizontal="center" vertical="center"/>
    </xf>
    <xf numFmtId="0" fontId="47" fillId="0" borderId="120" xfId="0" applyFont="1" applyBorder="1" applyAlignment="1">
      <alignment horizontal="center" vertical="center"/>
    </xf>
    <xf numFmtId="0" fontId="71" fillId="61" borderId="14" xfId="0" applyFont="1" applyFill="1" applyBorder="1" applyAlignment="1">
      <alignment horizontal="left" wrapText="1"/>
    </xf>
    <xf numFmtId="0" fontId="21" fillId="4" borderId="18" xfId="0" applyFont="1" applyFill="1" applyBorder="1" applyAlignment="1">
      <alignment horizontal="left" vertical="top" wrapText="1"/>
    </xf>
    <xf numFmtId="0" fontId="21" fillId="0" borderId="19" xfId="0" applyFont="1" applyBorder="1" applyAlignment="1">
      <alignment horizontal="left" vertical="top" wrapText="1"/>
    </xf>
    <xf numFmtId="0" fontId="21" fillId="4" borderId="19" xfId="0" applyFont="1" applyFill="1" applyBorder="1" applyAlignment="1">
      <alignment horizontal="left" vertical="top" wrapText="1"/>
    </xf>
    <xf numFmtId="0" fontId="21" fillId="4" borderId="82" xfId="0" applyFont="1" applyFill="1" applyBorder="1" applyAlignment="1">
      <alignment horizontal="left" vertical="top" wrapText="1"/>
    </xf>
    <xf numFmtId="0" fontId="71" fillId="61" borderId="1" xfId="0" applyFont="1" applyFill="1" applyBorder="1" applyAlignment="1">
      <alignment wrapText="1"/>
    </xf>
    <xf numFmtId="0" fontId="72" fillId="61" borderId="2" xfId="0" applyFont="1" applyFill="1" applyBorder="1" applyAlignment="1">
      <alignment wrapText="1"/>
    </xf>
    <xf numFmtId="0" fontId="72" fillId="61" borderId="14" xfId="0" applyFont="1" applyFill="1" applyBorder="1" applyAlignment="1">
      <alignment wrapText="1"/>
    </xf>
    <xf numFmtId="0" fontId="47" fillId="0" borderId="57" xfId="0" applyFont="1" applyBorder="1" applyAlignment="1">
      <alignment horizontal="right" vertical="center" wrapText="1"/>
    </xf>
    <xf numFmtId="0" fontId="15" fillId="0" borderId="125" xfId="0" applyFont="1" applyBorder="1" applyAlignment="1">
      <alignment horizontal="right" vertical="center" wrapText="1"/>
    </xf>
    <xf numFmtId="0" fontId="15" fillId="0" borderId="117" xfId="0" applyFont="1" applyBorder="1" applyAlignment="1">
      <alignment horizontal="right" vertical="center" wrapText="1"/>
    </xf>
    <xf numFmtId="0" fontId="47" fillId="0" borderId="70" xfId="0" applyFont="1" applyBorder="1" applyAlignment="1">
      <alignment horizontal="right" vertical="center" wrapText="1"/>
    </xf>
    <xf numFmtId="0" fontId="15" fillId="0" borderId="155" xfId="0" applyFont="1" applyBorder="1" applyAlignment="1">
      <alignment horizontal="right" vertical="center" wrapText="1"/>
    </xf>
    <xf numFmtId="0" fontId="15" fillId="0" borderId="120" xfId="0" applyFont="1" applyBorder="1" applyAlignment="1">
      <alignment horizontal="right" vertical="center" wrapText="1"/>
    </xf>
    <xf numFmtId="0" fontId="21" fillId="4" borderId="4" xfId="0" applyFont="1" applyFill="1" applyBorder="1" applyAlignment="1">
      <alignment horizontal="left" vertical="top" wrapText="1"/>
    </xf>
    <xf numFmtId="0" fontId="21" fillId="0" borderId="17" xfId="0" applyFont="1" applyBorder="1" applyAlignment="1">
      <alignment horizontal="left" vertical="top" wrapText="1"/>
    </xf>
    <xf numFmtId="0" fontId="21" fillId="4" borderId="70" xfId="0" applyFont="1" applyFill="1" applyBorder="1" applyAlignment="1">
      <alignment horizontal="left" vertical="top" wrapText="1"/>
    </xf>
    <xf numFmtId="0" fontId="21" fillId="0" borderId="155" xfId="0" applyFont="1" applyBorder="1" applyAlignment="1">
      <alignment horizontal="left" vertical="top" wrapText="1"/>
    </xf>
    <xf numFmtId="0" fontId="21" fillId="0" borderId="120" xfId="0" applyFont="1" applyBorder="1" applyAlignment="1">
      <alignment horizontal="left" vertical="top" wrapText="1"/>
    </xf>
    <xf numFmtId="0" fontId="71" fillId="61" borderId="18" xfId="0" applyFont="1" applyFill="1" applyBorder="1" applyAlignment="1">
      <alignment wrapText="1"/>
    </xf>
    <xf numFmtId="0" fontId="0" fillId="0" borderId="67" xfId="0" applyBorder="1" applyAlignment="1">
      <alignment wrapText="1"/>
    </xf>
    <xf numFmtId="0" fontId="21" fillId="4" borderId="11" xfId="0" applyFont="1" applyFill="1" applyBorder="1" applyAlignment="1">
      <alignment horizontal="left" vertical="top" wrapText="1"/>
    </xf>
    <xf numFmtId="0" fontId="0" fillId="0" borderId="154" xfId="0" applyBorder="1" applyAlignment="1">
      <alignment horizontal="left" vertical="top" wrapText="1"/>
    </xf>
    <xf numFmtId="0" fontId="0" fillId="0" borderId="17" xfId="0" applyBorder="1" applyAlignment="1">
      <alignment horizontal="left" vertical="top" wrapText="1"/>
    </xf>
    <xf numFmtId="0" fontId="20" fillId="4" borderId="0" xfId="2" applyFill="1" applyBorder="1" applyAlignment="1" applyProtection="1">
      <alignment horizontal="left" vertical="center"/>
    </xf>
    <xf numFmtId="0" fontId="12" fillId="0" borderId="0" xfId="0" applyFont="1" applyAlignment="1">
      <alignment horizontal="left" vertical="center"/>
    </xf>
    <xf numFmtId="0" fontId="72" fillId="61" borderId="14" xfId="0" applyFont="1" applyFill="1" applyBorder="1" applyAlignment="1">
      <alignment horizontal="left" vertical="center" wrapText="1"/>
    </xf>
    <xf numFmtId="0" fontId="21" fillId="4" borderId="1" xfId="0" applyFont="1" applyFill="1" applyBorder="1" applyAlignment="1">
      <alignment horizontal="left" vertical="top" wrapText="1"/>
    </xf>
    <xf numFmtId="0" fontId="21" fillId="4" borderId="2" xfId="0" applyFont="1" applyFill="1" applyBorder="1" applyAlignment="1">
      <alignment horizontal="left" vertical="top" wrapText="1"/>
    </xf>
    <xf numFmtId="0" fontId="21" fillId="4" borderId="14" xfId="0" applyFont="1" applyFill="1" applyBorder="1" applyAlignment="1">
      <alignment horizontal="left" vertical="top" wrapText="1"/>
    </xf>
    <xf numFmtId="0" fontId="75"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4" xfId="0" applyFont="1" applyBorder="1" applyAlignment="1">
      <alignment horizontal="center" vertical="center" wrapText="1"/>
    </xf>
    <xf numFmtId="0" fontId="12" fillId="4" borderId="0" xfId="0" applyFont="1" applyFill="1" applyAlignment="1">
      <alignment horizontal="left" vertical="top" wrapText="1"/>
    </xf>
    <xf numFmtId="0" fontId="52" fillId="61" borderId="2" xfId="0" applyFont="1" applyFill="1" applyBorder="1" applyAlignment="1">
      <alignment horizontal="left" vertical="top" wrapText="1"/>
    </xf>
    <xf numFmtId="0" fontId="52" fillId="61" borderId="14" xfId="0" applyFont="1" applyFill="1" applyBorder="1" applyAlignment="1">
      <alignment horizontal="left" vertical="top" wrapText="1"/>
    </xf>
    <xf numFmtId="0" fontId="70" fillId="61" borderId="6" xfId="0" applyFont="1" applyFill="1" applyBorder="1" applyAlignment="1">
      <alignment horizontal="center" vertical="center" wrapText="1"/>
    </xf>
    <xf numFmtId="0" fontId="0" fillId="0" borderId="7" xfId="0" applyBorder="1" applyAlignment="1">
      <alignment wrapText="1"/>
    </xf>
    <xf numFmtId="0" fontId="12" fillId="4" borderId="11" xfId="0" applyFont="1" applyFill="1" applyBorder="1" applyAlignment="1">
      <alignment horizontal="center" vertical="center" wrapText="1"/>
    </xf>
    <xf numFmtId="0" fontId="0" fillId="0" borderId="154" xfId="0" applyBorder="1" applyAlignment="1">
      <alignment wrapText="1"/>
    </xf>
    <xf numFmtId="0" fontId="70" fillId="61" borderId="4" xfId="0" applyFont="1" applyFill="1" applyBorder="1" applyAlignment="1">
      <alignment horizontal="left" vertical="center" wrapText="1"/>
    </xf>
    <xf numFmtId="0" fontId="0" fillId="0" borderId="17" xfId="0" applyBorder="1" applyAlignment="1">
      <alignment horizontal="left" vertical="center" wrapText="1"/>
    </xf>
    <xf numFmtId="0" fontId="0" fillId="0" borderId="2" xfId="0" applyBorder="1" applyAlignment="1">
      <alignment horizontal="left" vertical="top" wrapText="1"/>
    </xf>
    <xf numFmtId="0" fontId="15" fillId="4" borderId="56" xfId="0" applyFont="1" applyFill="1" applyBorder="1" applyAlignment="1">
      <alignment horizontal="center" vertical="center" wrapText="1"/>
    </xf>
    <xf numFmtId="0" fontId="15" fillId="0" borderId="51" xfId="0" applyFont="1" applyBorder="1" applyAlignment="1">
      <alignment horizontal="center" vertical="center" wrapText="1"/>
    </xf>
    <xf numFmtId="0" fontId="12" fillId="4" borderId="51" xfId="0" applyFont="1" applyFill="1" applyBorder="1" applyAlignment="1">
      <alignment horizontal="left" vertical="top" wrapText="1"/>
    </xf>
    <xf numFmtId="0" fontId="12" fillId="4" borderId="52" xfId="0" applyFont="1" applyFill="1" applyBorder="1" applyAlignment="1">
      <alignment horizontal="left" vertical="top" wrapText="1"/>
    </xf>
    <xf numFmtId="0" fontId="43" fillId="61" borderId="1" xfId="0" applyFont="1" applyFill="1" applyBorder="1" applyAlignment="1">
      <alignment horizontal="left" vertical="top" wrapText="1"/>
    </xf>
    <xf numFmtId="0" fontId="43" fillId="61" borderId="2" xfId="0" applyFont="1" applyFill="1" applyBorder="1" applyAlignment="1">
      <alignment horizontal="left" vertical="top" wrapText="1"/>
    </xf>
    <xf numFmtId="0" fontId="43" fillId="61" borderId="14" xfId="0" applyFont="1" applyFill="1" applyBorder="1" applyAlignment="1">
      <alignment horizontal="left" vertical="top" wrapText="1"/>
    </xf>
    <xf numFmtId="0" fontId="43" fillId="60" borderId="1" xfId="19" applyFont="1" applyFill="1" applyBorder="1" applyAlignment="1">
      <alignment horizontal="left" vertical="center" wrapText="1"/>
    </xf>
    <xf numFmtId="0" fontId="12" fillId="0" borderId="15" xfId="0" applyFont="1" applyBorder="1" applyAlignment="1">
      <alignment horizontal="center" vertical="center" wrapText="1"/>
    </xf>
    <xf numFmtId="0" fontId="0" fillId="0" borderId="54" xfId="0" applyBorder="1" applyAlignment="1">
      <alignment horizontal="center" vertical="center" wrapText="1"/>
    </xf>
    <xf numFmtId="0" fontId="75" fillId="0" borderId="2" xfId="0" applyFont="1" applyBorder="1" applyAlignment="1">
      <alignment horizontal="center" vertical="center" wrapText="1"/>
    </xf>
    <xf numFmtId="0" fontId="75" fillId="0" borderId="14" xfId="0" applyFont="1" applyBorder="1" applyAlignment="1">
      <alignment horizontal="center" vertical="center" wrapText="1"/>
    </xf>
    <xf numFmtId="0" fontId="12" fillId="4" borderId="34" xfId="0" applyFont="1" applyFill="1" applyBorder="1" applyAlignment="1">
      <alignment horizontal="left" vertical="top" wrapText="1"/>
    </xf>
    <xf numFmtId="0" fontId="12" fillId="4" borderId="19" xfId="0" applyFont="1" applyFill="1" applyBorder="1" applyAlignment="1">
      <alignment horizontal="left" vertical="top" wrapText="1"/>
    </xf>
    <xf numFmtId="0" fontId="12" fillId="4" borderId="82" xfId="0" applyFont="1" applyFill="1" applyBorder="1" applyAlignment="1">
      <alignment horizontal="left" vertical="top" wrapText="1"/>
    </xf>
    <xf numFmtId="0" fontId="12" fillId="4" borderId="94" xfId="0" applyFont="1" applyFill="1" applyBorder="1" applyAlignment="1">
      <alignment horizontal="left" vertical="top" wrapText="1"/>
    </xf>
    <xf numFmtId="0" fontId="0" fillId="0" borderId="15" xfId="0" applyBorder="1" applyAlignment="1">
      <alignment horizontal="center" vertical="center" wrapText="1"/>
    </xf>
    <xf numFmtId="0" fontId="12" fillId="0" borderId="55" xfId="0" applyFont="1" applyBorder="1" applyAlignment="1">
      <alignment horizontal="center" vertical="center" wrapText="1"/>
    </xf>
    <xf numFmtId="0" fontId="71" fillId="61" borderId="2" xfId="0" applyFont="1" applyFill="1" applyBorder="1" applyAlignment="1">
      <alignment wrapText="1"/>
    </xf>
    <xf numFmtId="0" fontId="71" fillId="61" borderId="14" xfId="0" applyFont="1" applyFill="1" applyBorder="1" applyAlignment="1">
      <alignment wrapText="1"/>
    </xf>
    <xf numFmtId="0" fontId="19" fillId="0" borderId="2" xfId="0" applyFont="1" applyBorder="1" applyAlignment="1">
      <alignment horizontal="left" vertical="center" wrapText="1"/>
    </xf>
    <xf numFmtId="0" fontId="19" fillId="0" borderId="2" xfId="0" applyFont="1" applyBorder="1" applyAlignment="1">
      <alignment wrapText="1"/>
    </xf>
    <xf numFmtId="0" fontId="19" fillId="0" borderId="14" xfId="0" applyFont="1" applyBorder="1" applyAlignment="1">
      <alignment wrapText="1"/>
    </xf>
    <xf numFmtId="0" fontId="12" fillId="0" borderId="6" xfId="0" applyFont="1" applyBorder="1" applyAlignment="1">
      <alignment horizontal="left" vertical="top" wrapText="1"/>
    </xf>
    <xf numFmtId="0" fontId="0" fillId="0" borderId="7" xfId="0" applyBorder="1" applyAlignment="1">
      <alignment horizontal="left" vertical="top" wrapText="1"/>
    </xf>
    <xf numFmtId="0" fontId="12" fillId="0" borderId="113" xfId="0" applyFont="1" applyBorder="1" applyAlignment="1">
      <alignment horizontal="left" vertical="top" wrapText="1"/>
    </xf>
    <xf numFmtId="0" fontId="0" fillId="0" borderId="112" xfId="0" applyBorder="1" applyAlignment="1">
      <alignment horizontal="left" vertical="top" wrapText="1"/>
    </xf>
    <xf numFmtId="0" fontId="12" fillId="0" borderId="11" xfId="0" applyFont="1" applyBorder="1" applyAlignment="1">
      <alignment horizontal="left" vertical="top" wrapText="1"/>
    </xf>
    <xf numFmtId="0" fontId="50" fillId="0" borderId="48" xfId="0" applyFont="1" applyBorder="1" applyAlignment="1">
      <alignment horizontal="center" vertical="center" wrapText="1"/>
    </xf>
    <xf numFmtId="0" fontId="50" fillId="0" borderId="49" xfId="0" applyFont="1" applyBorder="1" applyAlignment="1">
      <alignment horizontal="center" vertical="center" wrapText="1"/>
    </xf>
    <xf numFmtId="0" fontId="82" fillId="0" borderId="13" xfId="0" applyFont="1" applyBorder="1" applyAlignment="1">
      <alignment horizontal="left" vertical="top" wrapText="1"/>
    </xf>
    <xf numFmtId="0" fontId="30" fillId="0" borderId="64" xfId="0" applyFont="1" applyBorder="1" applyAlignment="1">
      <alignment horizontal="left" vertical="top" wrapText="1"/>
    </xf>
    <xf numFmtId="0" fontId="30" fillId="0" borderId="65" xfId="0" applyFont="1" applyBorder="1" applyAlignment="1">
      <alignment horizontal="left" vertical="top" wrapText="1"/>
    </xf>
    <xf numFmtId="0" fontId="21" fillId="0" borderId="70" xfId="0" applyFont="1" applyBorder="1" applyAlignment="1">
      <alignment horizontal="left" vertical="top" wrapText="1"/>
    </xf>
    <xf numFmtId="0" fontId="0" fillId="0" borderId="51" xfId="0" applyBorder="1" applyAlignment="1">
      <alignment horizontal="left" vertical="top" wrapText="1"/>
    </xf>
    <xf numFmtId="0" fontId="0" fillId="0" borderId="52" xfId="0" applyBorder="1" applyAlignment="1">
      <alignment horizontal="left" vertical="top" wrapText="1"/>
    </xf>
    <xf numFmtId="0" fontId="72" fillId="61" borderId="2" xfId="0" applyFont="1" applyFill="1" applyBorder="1" applyAlignment="1">
      <alignment horizontal="left" vertical="top" wrapText="1"/>
    </xf>
    <xf numFmtId="0" fontId="72" fillId="61" borderId="14" xfId="0" applyFont="1" applyFill="1" applyBorder="1" applyAlignment="1">
      <alignment horizontal="left" vertical="top" wrapText="1"/>
    </xf>
    <xf numFmtId="0" fontId="51" fillId="0" borderId="75" xfId="0" applyFont="1" applyBorder="1" applyAlignment="1">
      <alignment horizontal="center" vertical="center" wrapText="1"/>
    </xf>
    <xf numFmtId="0" fontId="51" fillId="0" borderId="76" xfId="0" applyFont="1" applyBorder="1" applyAlignment="1">
      <alignment horizontal="center" vertical="center" wrapText="1"/>
    </xf>
    <xf numFmtId="0" fontId="51" fillId="0" borderId="77" xfId="0" applyFont="1" applyBorder="1" applyAlignment="1">
      <alignment horizontal="center" vertical="center" wrapText="1"/>
    </xf>
    <xf numFmtId="0" fontId="51" fillId="0" borderId="85" xfId="0" applyFont="1" applyBorder="1" applyAlignment="1">
      <alignment horizontal="center" vertical="center" wrapText="1"/>
    </xf>
    <xf numFmtId="0" fontId="0" fillId="0" borderId="19" xfId="0" applyBorder="1" applyAlignment="1">
      <alignment horizontal="left" vertical="top" wrapText="1"/>
    </xf>
    <xf numFmtId="0" fontId="0" fillId="0" borderId="82" xfId="0" applyBorder="1" applyAlignment="1">
      <alignment horizontal="left" vertical="top" wrapText="1"/>
    </xf>
    <xf numFmtId="0" fontId="12" fillId="4" borderId="116" xfId="0" applyFont="1" applyFill="1" applyBorder="1" applyAlignment="1">
      <alignment horizontal="left" vertical="top" wrapText="1"/>
    </xf>
    <xf numFmtId="0" fontId="21" fillId="4" borderId="51" xfId="0" applyFont="1" applyFill="1" applyBorder="1" applyAlignment="1">
      <alignment horizontal="left" vertical="center" wrapText="1"/>
    </xf>
    <xf numFmtId="0" fontId="21" fillId="4" borderId="52" xfId="0" applyFont="1" applyFill="1" applyBorder="1" applyAlignment="1">
      <alignment horizontal="left" vertical="center" wrapText="1"/>
    </xf>
    <xf numFmtId="0" fontId="71" fillId="73" borderId="1" xfId="0" applyFont="1" applyFill="1" applyBorder="1" applyAlignment="1">
      <alignment horizontal="left" wrapText="1"/>
    </xf>
    <xf numFmtId="0" fontId="71" fillId="73" borderId="2" xfId="0" applyFont="1" applyFill="1" applyBorder="1" applyAlignment="1">
      <alignment horizontal="left" wrapText="1"/>
    </xf>
    <xf numFmtId="0" fontId="71" fillId="73" borderId="14" xfId="0" applyFont="1" applyFill="1" applyBorder="1" applyAlignment="1">
      <alignment horizontal="left" wrapText="1"/>
    </xf>
    <xf numFmtId="0" fontId="0" fillId="0" borderId="16" xfId="0" applyBorder="1" applyAlignment="1">
      <alignment horizontal="left" vertical="top" wrapText="1"/>
    </xf>
    <xf numFmtId="0" fontId="0" fillId="0" borderId="34" xfId="0" applyBorder="1" applyAlignment="1">
      <alignment horizontal="left" vertical="top" wrapText="1"/>
    </xf>
    <xf numFmtId="0" fontId="0" fillId="0" borderId="115" xfId="0" applyBorder="1" applyAlignment="1">
      <alignment horizontal="left" vertical="top" wrapText="1"/>
    </xf>
    <xf numFmtId="0" fontId="0" fillId="0" borderId="116" xfId="0" applyBorder="1" applyAlignment="1">
      <alignment horizontal="left" vertical="top" wrapText="1"/>
    </xf>
    <xf numFmtId="0" fontId="12" fillId="4" borderId="68"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56" xfId="0" applyFont="1" applyFill="1" applyBorder="1" applyAlignment="1">
      <alignment horizontal="center" vertical="center" wrapText="1"/>
    </xf>
    <xf numFmtId="0" fontId="15" fillId="0" borderId="18" xfId="0" applyFont="1" applyBorder="1" applyAlignment="1">
      <alignment horizontal="right" vertical="center" wrapText="1"/>
    </xf>
    <xf numFmtId="0" fontId="15" fillId="0" borderId="19" xfId="0" applyFont="1" applyBorder="1" applyAlignment="1">
      <alignment horizontal="right" vertical="center" wrapText="1"/>
    </xf>
    <xf numFmtId="0" fontId="15" fillId="0" borderId="82" xfId="0" applyFont="1" applyBorder="1" applyAlignment="1">
      <alignment horizontal="right" vertical="center" wrapText="1"/>
    </xf>
    <xf numFmtId="0" fontId="16" fillId="4" borderId="1"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14" xfId="0" applyFont="1" applyFill="1" applyBorder="1" applyAlignment="1">
      <alignment horizontal="center" vertical="center" wrapText="1"/>
    </xf>
    <xf numFmtId="0" fontId="12" fillId="4" borderId="94" xfId="0" applyFont="1" applyFill="1" applyBorder="1" applyAlignment="1">
      <alignment horizontal="center" vertical="top" wrapText="1"/>
    </xf>
    <xf numFmtId="0" fontId="12" fillId="4" borderId="51" xfId="0" applyFont="1" applyFill="1" applyBorder="1" applyAlignment="1">
      <alignment horizontal="center" vertical="top" wrapText="1"/>
    </xf>
    <xf numFmtId="0" fontId="12" fillId="4" borderId="52" xfId="0" applyFont="1" applyFill="1" applyBorder="1" applyAlignment="1">
      <alignment horizontal="center" vertical="top" wrapText="1"/>
    </xf>
    <xf numFmtId="0" fontId="12" fillId="0" borderId="56" xfId="0" applyFont="1" applyBorder="1" applyAlignment="1">
      <alignment horizontal="left" vertical="top" wrapText="1"/>
    </xf>
    <xf numFmtId="0" fontId="71" fillId="61" borderId="1" xfId="0" applyFont="1" applyFill="1" applyBorder="1" applyAlignment="1">
      <alignment horizontal="center" vertical="center" wrapText="1"/>
    </xf>
    <xf numFmtId="0" fontId="71" fillId="61" borderId="2" xfId="0" applyFont="1" applyFill="1" applyBorder="1" applyAlignment="1">
      <alignment horizontal="center" vertical="center" wrapText="1"/>
    </xf>
    <xf numFmtId="0" fontId="71" fillId="61" borderId="14" xfId="0" applyFont="1" applyFill="1" applyBorder="1" applyAlignment="1">
      <alignment horizontal="center" vertical="center" wrapText="1"/>
    </xf>
    <xf numFmtId="0" fontId="15" fillId="0" borderId="57" xfId="0" applyFont="1" applyBorder="1" applyAlignment="1">
      <alignment horizontal="right" vertical="center" wrapText="1"/>
    </xf>
    <xf numFmtId="0" fontId="15" fillId="0" borderId="131" xfId="0" applyFont="1" applyBorder="1" applyAlignment="1">
      <alignment horizontal="right" vertical="center" wrapText="1"/>
    </xf>
    <xf numFmtId="0" fontId="15" fillId="0" borderId="70" xfId="0" applyFont="1" applyBorder="1" applyAlignment="1">
      <alignment horizontal="right" vertical="center" wrapText="1"/>
    </xf>
    <xf numFmtId="0" fontId="15" fillId="0" borderId="119" xfId="0" applyFont="1" applyBorder="1" applyAlignment="1">
      <alignment horizontal="right" vertical="center" wrapText="1"/>
    </xf>
    <xf numFmtId="0" fontId="15" fillId="0" borderId="1" xfId="0" applyFont="1" applyBorder="1" applyAlignment="1">
      <alignment horizontal="right" vertical="center" wrapText="1"/>
    </xf>
    <xf numFmtId="0" fontId="15" fillId="0" borderId="2" xfId="0" applyFont="1" applyBorder="1" applyAlignment="1">
      <alignment horizontal="right" vertical="center" wrapText="1"/>
    </xf>
    <xf numFmtId="0" fontId="15" fillId="0" borderId="14" xfId="0" applyFont="1" applyBorder="1" applyAlignment="1">
      <alignment horizontal="right" vertical="center" wrapText="1"/>
    </xf>
    <xf numFmtId="0" fontId="70" fillId="61" borderId="69" xfId="0" applyFont="1" applyFill="1" applyBorder="1" applyAlignment="1">
      <alignment horizontal="center" vertical="center" wrapText="1"/>
    </xf>
    <xf numFmtId="0" fontId="70" fillId="61" borderId="149" xfId="0" applyFont="1" applyFill="1" applyBorder="1" applyAlignment="1">
      <alignment horizontal="center" vertical="center" wrapText="1"/>
    </xf>
    <xf numFmtId="0" fontId="70" fillId="61" borderId="137" xfId="0" applyFont="1" applyFill="1" applyBorder="1" applyAlignment="1">
      <alignment horizontal="center" vertical="center" wrapText="1"/>
    </xf>
    <xf numFmtId="0" fontId="70" fillId="61" borderId="18" xfId="0" applyFont="1" applyFill="1" applyBorder="1" applyAlignment="1">
      <alignment horizontal="center" vertical="center" wrapText="1"/>
    </xf>
    <xf numFmtId="0" fontId="70" fillId="61" borderId="19" xfId="0" applyFont="1" applyFill="1" applyBorder="1" applyAlignment="1">
      <alignment horizontal="center" vertical="center" wrapText="1"/>
    </xf>
    <xf numFmtId="0" fontId="70" fillId="61" borderId="82" xfId="0" applyFont="1" applyFill="1" applyBorder="1" applyAlignment="1">
      <alignment horizontal="center" vertical="center" wrapText="1"/>
    </xf>
    <xf numFmtId="0" fontId="12" fillId="0" borderId="4" xfId="19" applyBorder="1" applyAlignment="1">
      <alignment horizontal="left" vertical="top" wrapText="1"/>
    </xf>
    <xf numFmtId="0" fontId="12" fillId="0" borderId="17" xfId="19" applyBorder="1" applyAlignment="1">
      <alignment horizontal="left" vertical="top" wrapText="1"/>
    </xf>
    <xf numFmtId="0" fontId="16" fillId="4" borderId="1" xfId="19" applyFont="1" applyFill="1" applyBorder="1" applyAlignment="1">
      <alignment horizontal="center" vertical="center" wrapText="1"/>
    </xf>
    <xf numFmtId="0" fontId="12" fillId="0" borderId="2" xfId="19" applyBorder="1" applyAlignment="1">
      <alignment horizontal="center" vertical="center" wrapText="1"/>
    </xf>
    <xf numFmtId="0" fontId="12" fillId="0" borderId="14" xfId="19" applyBorder="1" applyAlignment="1">
      <alignment horizontal="center" vertical="center" wrapText="1"/>
    </xf>
    <xf numFmtId="0" fontId="12" fillId="0" borderId="2" xfId="19" applyBorder="1" applyAlignment="1">
      <alignment wrapText="1"/>
    </xf>
    <xf numFmtId="0" fontId="12" fillId="0" borderId="14" xfId="19" applyBorder="1" applyAlignment="1">
      <alignment wrapText="1"/>
    </xf>
    <xf numFmtId="0" fontId="12" fillId="4" borderId="34" xfId="19" applyFill="1" applyBorder="1" applyAlignment="1">
      <alignment horizontal="left" vertical="top" wrapText="1"/>
    </xf>
    <xf numFmtId="0" fontId="12" fillId="0" borderId="19" xfId="19" applyBorder="1" applyAlignment="1">
      <alignment horizontal="left" vertical="top" wrapText="1"/>
    </xf>
    <xf numFmtId="0" fontId="12" fillId="0" borderId="82" xfId="19" applyBorder="1" applyAlignment="1">
      <alignment horizontal="left" vertical="top" wrapText="1"/>
    </xf>
    <xf numFmtId="0" fontId="12" fillId="4" borderId="116" xfId="19" applyFill="1" applyBorder="1" applyAlignment="1">
      <alignment horizontal="left" vertical="top" wrapText="1"/>
    </xf>
    <xf numFmtId="0" fontId="12" fillId="0" borderId="155" xfId="19" applyBorder="1" applyAlignment="1">
      <alignment horizontal="left" vertical="top" wrapText="1"/>
    </xf>
    <xf numFmtId="0" fontId="12" fillId="0" borderId="119" xfId="19" applyBorder="1" applyAlignment="1">
      <alignment horizontal="left" vertical="top" wrapText="1"/>
    </xf>
    <xf numFmtId="0" fontId="12" fillId="4" borderId="70" xfId="19" applyFill="1" applyBorder="1" applyAlignment="1">
      <alignment horizontal="left" vertical="top" wrapText="1"/>
    </xf>
    <xf numFmtId="0" fontId="71" fillId="61" borderId="18" xfId="19" applyFont="1" applyFill="1" applyBorder="1" applyAlignment="1">
      <alignment horizontal="left" vertical="top" wrapText="1"/>
    </xf>
    <xf numFmtId="0" fontId="15" fillId="4" borderId="4" xfId="0" applyFont="1" applyFill="1" applyBorder="1" applyAlignment="1">
      <alignment horizontal="right" vertical="center" wrapText="1"/>
    </xf>
    <xf numFmtId="0" fontId="0" fillId="0" borderId="17" xfId="0" applyBorder="1" applyAlignment="1">
      <alignment horizontal="right" vertical="center" wrapText="1"/>
    </xf>
    <xf numFmtId="0" fontId="0" fillId="0" borderId="36" xfId="0" applyBorder="1" applyAlignment="1">
      <alignment horizontal="right" vertical="center" wrapText="1"/>
    </xf>
    <xf numFmtId="3" fontId="15" fillId="4" borderId="154" xfId="0" applyNumberFormat="1" applyFont="1" applyFill="1" applyBorder="1" applyAlignment="1">
      <alignment horizontal="right" vertical="center" wrapText="1"/>
    </xf>
    <xf numFmtId="0" fontId="0" fillId="0" borderId="154" xfId="0" applyBorder="1" applyAlignment="1">
      <alignment horizontal="right" vertical="center" wrapText="1"/>
    </xf>
    <xf numFmtId="0" fontId="0" fillId="0" borderId="116" xfId="0" applyBorder="1" applyAlignment="1">
      <alignment horizontal="right" vertical="center" wrapText="1"/>
    </xf>
    <xf numFmtId="0" fontId="12" fillId="4" borderId="20" xfId="0" applyFont="1" applyFill="1" applyBorder="1" applyAlignment="1">
      <alignment horizontal="center" vertical="center" wrapText="1"/>
    </xf>
    <xf numFmtId="3" fontId="15" fillId="4" borderId="56" xfId="0" applyNumberFormat="1" applyFont="1" applyFill="1" applyBorder="1" applyAlignment="1">
      <alignment horizontal="left" vertical="top" wrapText="1"/>
    </xf>
    <xf numFmtId="0" fontId="0" fillId="0" borderId="111" xfId="0" applyBorder="1" applyAlignment="1">
      <alignment horizontal="left" vertical="top" wrapText="1"/>
    </xf>
    <xf numFmtId="0" fontId="21" fillId="0" borderId="56" xfId="0" applyFont="1" applyBorder="1" applyAlignment="1">
      <alignment horizontal="left" vertical="top" wrapText="1"/>
    </xf>
    <xf numFmtId="0" fontId="15" fillId="4" borderId="1" xfId="0" applyFont="1" applyFill="1" applyBorder="1" applyAlignment="1">
      <alignment horizontal="right" wrapText="1"/>
    </xf>
    <xf numFmtId="0" fontId="15" fillId="0" borderId="35" xfId="0" applyFont="1" applyBorder="1" applyAlignment="1">
      <alignment horizontal="right" wrapText="1"/>
    </xf>
    <xf numFmtId="0" fontId="12" fillId="4" borderId="13" xfId="0" applyFont="1" applyFill="1" applyBorder="1" applyAlignment="1">
      <alignment horizontal="left" vertical="top" wrapText="1"/>
    </xf>
    <xf numFmtId="0" fontId="0" fillId="0" borderId="64" xfId="0" applyBorder="1" applyAlignment="1">
      <alignment horizontal="left" vertical="top" wrapText="1"/>
    </xf>
    <xf numFmtId="0" fontId="0" fillId="0" borderId="91" xfId="0" applyBorder="1" applyAlignment="1">
      <alignment horizontal="left" vertical="top" wrapText="1"/>
    </xf>
    <xf numFmtId="0" fontId="18" fillId="4" borderId="0" xfId="0" applyFont="1" applyFill="1" applyAlignment="1">
      <alignment horizontal="left" wrapText="1"/>
    </xf>
    <xf numFmtId="0" fontId="71" fillId="61" borderId="4" xfId="0" applyFont="1" applyFill="1" applyBorder="1" applyAlignment="1">
      <alignment horizontal="left" vertical="top" wrapText="1"/>
    </xf>
    <xf numFmtId="0" fontId="21" fillId="4" borderId="1" xfId="0" applyFont="1" applyFill="1" applyBorder="1" applyAlignment="1">
      <alignment wrapText="1"/>
    </xf>
    <xf numFmtId="0" fontId="16" fillId="4" borderId="1" xfId="0" applyFont="1" applyFill="1" applyBorder="1" applyAlignment="1">
      <alignment vertical="top" wrapText="1"/>
    </xf>
    <xf numFmtId="0" fontId="0" fillId="0" borderId="2" xfId="0" applyBorder="1" applyAlignment="1">
      <alignment vertical="top" wrapText="1"/>
    </xf>
    <xf numFmtId="0" fontId="0" fillId="0" borderId="14" xfId="0" applyBorder="1" applyAlignment="1">
      <alignment vertical="top" wrapText="1"/>
    </xf>
    <xf numFmtId="0" fontId="0" fillId="0" borderId="2" xfId="0" applyBorder="1" applyAlignment="1">
      <alignment horizontal="center" vertical="center" wrapText="1"/>
    </xf>
    <xf numFmtId="0" fontId="12" fillId="4" borderId="70" xfId="0" applyFont="1" applyFill="1" applyBorder="1" applyAlignment="1">
      <alignment horizontal="left" vertical="top" wrapText="1"/>
    </xf>
    <xf numFmtId="0" fontId="12" fillId="0" borderId="155" xfId="0" applyFont="1" applyBorder="1" applyAlignment="1">
      <alignment horizontal="left" vertical="top" wrapText="1"/>
    </xf>
    <xf numFmtId="0" fontId="12" fillId="0" borderId="119" xfId="0" applyFont="1" applyBorder="1" applyAlignment="1">
      <alignment horizontal="left" vertical="top" wrapText="1"/>
    </xf>
    <xf numFmtId="0" fontId="0" fillId="0" borderId="14" xfId="0" applyBorder="1" applyAlignment="1">
      <alignment horizontal="center" vertical="center" wrapText="1"/>
    </xf>
    <xf numFmtId="0" fontId="15" fillId="4" borderId="1" xfId="0" applyFont="1" applyFill="1" applyBorder="1" applyAlignment="1">
      <alignment horizontal="right" vertical="top" wrapText="1"/>
    </xf>
    <xf numFmtId="0" fontId="0" fillId="0" borderId="2" xfId="0" applyBorder="1" applyAlignment="1">
      <alignment horizontal="right" vertical="top" wrapText="1"/>
    </xf>
    <xf numFmtId="0" fontId="0" fillId="0" borderId="35" xfId="0" applyBorder="1" applyAlignment="1">
      <alignment horizontal="right" vertical="top" wrapText="1"/>
    </xf>
    <xf numFmtId="0" fontId="47" fillId="0" borderId="1" xfId="0" applyFont="1" applyBorder="1" applyAlignment="1">
      <alignment horizontal="right" vertical="center" wrapText="1"/>
    </xf>
    <xf numFmtId="0" fontId="0" fillId="0" borderId="2" xfId="0" applyBorder="1" applyAlignment="1">
      <alignment horizontal="right" vertical="center" wrapText="1"/>
    </xf>
    <xf numFmtId="0" fontId="0" fillId="0" borderId="14" xfId="0" applyBorder="1" applyAlignment="1">
      <alignment horizontal="right" vertical="center" wrapText="1"/>
    </xf>
    <xf numFmtId="0" fontId="15" fillId="4" borderId="70" xfId="0" applyFont="1" applyFill="1" applyBorder="1" applyAlignment="1">
      <alignment horizontal="right" vertical="center" wrapText="1"/>
    </xf>
    <xf numFmtId="0" fontId="0" fillId="0" borderId="155" xfId="0" applyBorder="1" applyAlignment="1">
      <alignment horizontal="right" vertical="center" wrapText="1"/>
    </xf>
    <xf numFmtId="0" fontId="0" fillId="0" borderId="120" xfId="0" applyBorder="1" applyAlignment="1">
      <alignment horizontal="right" vertical="center" wrapText="1"/>
    </xf>
    <xf numFmtId="0" fontId="94" fillId="4" borderId="0" xfId="0" applyFont="1" applyFill="1" applyAlignment="1">
      <alignment horizontal="left" wrapText="1"/>
    </xf>
    <xf numFmtId="3" fontId="12" fillId="4" borderId="4" xfId="0" applyNumberFormat="1" applyFont="1" applyFill="1" applyBorder="1" applyAlignment="1">
      <alignment horizontal="left" vertical="top" wrapText="1"/>
    </xf>
    <xf numFmtId="0" fontId="0" fillId="0" borderId="5" xfId="0" applyBorder="1" applyAlignment="1">
      <alignment horizontal="left" vertical="center" wrapText="1"/>
    </xf>
    <xf numFmtId="0" fontId="0" fillId="61" borderId="2" xfId="0" applyFill="1" applyBorder="1" applyAlignment="1">
      <alignment horizontal="left" vertical="center" wrapText="1"/>
    </xf>
    <xf numFmtId="0" fontId="12" fillId="0" borderId="1" xfId="0" applyFont="1" applyBorder="1" applyAlignment="1">
      <alignment horizontal="left" vertical="center" wrapText="1"/>
    </xf>
    <xf numFmtId="0" fontId="12" fillId="0" borderId="2" xfId="0" applyFont="1" applyBorder="1" applyAlignment="1">
      <alignment horizontal="left" vertical="center" wrapText="1"/>
    </xf>
    <xf numFmtId="0" fontId="12" fillId="0" borderId="14" xfId="0" applyFont="1" applyBorder="1" applyAlignment="1">
      <alignment horizontal="left" vertical="center" wrapText="1"/>
    </xf>
    <xf numFmtId="49" fontId="21" fillId="4" borderId="1" xfId="0" applyNumberFormat="1" applyFont="1" applyFill="1" applyBorder="1" applyAlignment="1">
      <alignment horizontal="left" vertical="top" wrapText="1"/>
    </xf>
    <xf numFmtId="0" fontId="12" fillId="4" borderId="23"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20" fillId="0" borderId="112" xfId="2" applyBorder="1" applyAlignment="1" applyProtection="1">
      <alignment horizontal="center" vertical="center"/>
    </xf>
    <xf numFmtId="0" fontId="51" fillId="0" borderId="112" xfId="0" applyFont="1" applyBorder="1" applyAlignment="1">
      <alignment horizontal="center" vertical="center"/>
    </xf>
    <xf numFmtId="0" fontId="12" fillId="0" borderId="9" xfId="0" applyFont="1" applyBorder="1" applyAlignment="1">
      <alignment horizontal="center" vertical="center" wrapText="1"/>
    </xf>
    <xf numFmtId="0" fontId="12" fillId="0" borderId="113"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6" xfId="0" applyFont="1" applyBorder="1" applyAlignment="1">
      <alignment horizontal="center" vertical="center" wrapText="1"/>
    </xf>
    <xf numFmtId="0" fontId="21" fillId="4" borderId="115" xfId="0" applyFont="1" applyFill="1" applyBorder="1" applyAlignment="1">
      <alignment horizontal="left" vertical="top" wrapText="1"/>
    </xf>
    <xf numFmtId="0" fontId="21" fillId="4" borderId="125" xfId="0" applyFont="1" applyFill="1" applyBorder="1" applyAlignment="1">
      <alignment horizontal="left" vertical="top" wrapText="1"/>
    </xf>
    <xf numFmtId="0" fontId="21" fillId="4" borderId="117" xfId="0" applyFont="1" applyFill="1" applyBorder="1" applyAlignment="1">
      <alignment horizontal="left" vertical="top" wrapText="1"/>
    </xf>
    <xf numFmtId="0" fontId="71" fillId="61" borderId="160" xfId="0" applyFont="1" applyFill="1" applyBorder="1" applyAlignment="1">
      <alignment horizontal="left" vertical="center" wrapText="1"/>
    </xf>
    <xf numFmtId="0" fontId="71" fillId="61" borderId="161" xfId="0" applyFont="1" applyFill="1" applyBorder="1" applyAlignment="1">
      <alignment horizontal="left" vertical="center" wrapText="1"/>
    </xf>
    <xf numFmtId="0" fontId="71" fillId="61" borderId="162" xfId="0" applyFont="1" applyFill="1" applyBorder="1" applyAlignment="1">
      <alignment horizontal="left" vertical="center" wrapText="1"/>
    </xf>
    <xf numFmtId="0" fontId="70" fillId="61" borderId="17" xfId="0" applyFont="1" applyFill="1" applyBorder="1" applyAlignment="1">
      <alignment horizontal="center" vertical="center" wrapText="1"/>
    </xf>
    <xf numFmtId="0" fontId="70" fillId="61" borderId="5" xfId="0" applyFont="1" applyFill="1" applyBorder="1" applyAlignment="1">
      <alignment horizontal="center" vertical="center" wrapText="1"/>
    </xf>
    <xf numFmtId="0" fontId="20" fillId="0" borderId="7" xfId="2" applyBorder="1" applyAlignment="1" applyProtection="1">
      <alignment horizontal="center" vertical="center"/>
    </xf>
    <xf numFmtId="0" fontId="51" fillId="0" borderId="7" xfId="0" applyFont="1" applyBorder="1" applyAlignment="1">
      <alignment horizontal="center" vertical="center"/>
    </xf>
    <xf numFmtId="0" fontId="70" fillId="61" borderId="1" xfId="0" applyFont="1" applyFill="1" applyBorder="1" applyAlignment="1">
      <alignment horizontal="right" vertical="center" wrapText="1"/>
    </xf>
    <xf numFmtId="3" fontId="12" fillId="4" borderId="56" xfId="0" applyNumberFormat="1" applyFont="1" applyFill="1" applyBorder="1" applyAlignment="1">
      <alignment horizontal="left" vertical="top" wrapText="1"/>
    </xf>
    <xf numFmtId="0" fontId="0" fillId="0" borderId="51" xfId="0" applyBorder="1" applyAlignment="1">
      <alignment wrapText="1"/>
    </xf>
    <xf numFmtId="0" fontId="0" fillId="0" borderId="111" xfId="0" applyBorder="1" applyAlignment="1">
      <alignment wrapText="1"/>
    </xf>
    <xf numFmtId="0" fontId="70" fillId="61" borderId="113" xfId="0" applyFont="1" applyFill="1" applyBorder="1" applyAlignment="1">
      <alignment horizontal="center" vertical="center" wrapText="1"/>
    </xf>
    <xf numFmtId="0" fontId="0" fillId="0" borderId="113" xfId="0" applyBorder="1" applyAlignment="1">
      <alignment wrapText="1"/>
    </xf>
    <xf numFmtId="0" fontId="0" fillId="0" borderId="11" xfId="0" applyBorder="1" applyAlignment="1">
      <alignment wrapText="1"/>
    </xf>
    <xf numFmtId="0" fontId="70" fillId="61" borderId="114" xfId="0" applyFont="1" applyFill="1" applyBorder="1" applyAlignment="1">
      <alignment horizontal="center" vertical="center" wrapText="1"/>
    </xf>
    <xf numFmtId="0" fontId="21" fillId="0" borderId="2" xfId="0" applyFont="1" applyBorder="1" applyAlignment="1">
      <alignment horizontal="left" vertical="top" wrapText="1"/>
    </xf>
    <xf numFmtId="0" fontId="21" fillId="0" borderId="35" xfId="0" applyFont="1" applyBorder="1" applyAlignment="1">
      <alignment horizontal="left" vertical="top" wrapText="1"/>
    </xf>
    <xf numFmtId="0" fontId="70" fillId="61" borderId="68" xfId="0" applyFont="1" applyFill="1" applyBorder="1" applyAlignment="1">
      <alignment horizontal="center" vertical="center" wrapText="1"/>
    </xf>
    <xf numFmtId="0" fontId="0" fillId="0" borderId="3" xfId="0" applyBorder="1" applyAlignment="1">
      <alignment wrapText="1"/>
    </xf>
    <xf numFmtId="0" fontId="0" fillId="0" borderId="56" xfId="0" applyBorder="1" applyAlignment="1">
      <alignment wrapText="1"/>
    </xf>
    <xf numFmtId="0" fontId="21" fillId="0" borderId="67" xfId="0" applyFont="1" applyBorder="1" applyAlignment="1">
      <alignment horizontal="left" vertical="top" wrapText="1"/>
    </xf>
    <xf numFmtId="0" fontId="70" fillId="61" borderId="66" xfId="0" applyFont="1" applyFill="1" applyBorder="1" applyAlignment="1">
      <alignment horizontal="center" vertical="center" wrapText="1"/>
    </xf>
    <xf numFmtId="0" fontId="0" fillId="0" borderId="23" xfId="0" applyBorder="1" applyAlignment="1">
      <alignment wrapText="1"/>
    </xf>
    <xf numFmtId="0" fontId="0" fillId="0" borderId="48" xfId="0" applyBorder="1" applyAlignment="1">
      <alignment wrapText="1"/>
    </xf>
    <xf numFmtId="0" fontId="70" fillId="61" borderId="8" xfId="0" applyFont="1" applyFill="1" applyBorder="1" applyAlignment="1">
      <alignment horizontal="center" vertical="center" wrapText="1"/>
    </xf>
    <xf numFmtId="0" fontId="15" fillId="4" borderId="154" xfId="0" applyFont="1" applyFill="1" applyBorder="1" applyAlignment="1">
      <alignment horizontal="right" vertical="center" wrapText="1"/>
    </xf>
    <xf numFmtId="0" fontId="15" fillId="0" borderId="154" xfId="0" applyFont="1" applyBorder="1" applyAlignment="1">
      <alignment horizontal="right" wrapText="1"/>
    </xf>
    <xf numFmtId="0" fontId="15" fillId="4" borderId="35" xfId="0" applyFont="1" applyFill="1" applyBorder="1" applyAlignment="1">
      <alignment horizontal="right" wrapText="1"/>
    </xf>
    <xf numFmtId="0" fontId="15" fillId="0" borderId="17" xfId="0" applyFont="1" applyBorder="1" applyAlignment="1">
      <alignment horizontal="right" wrapText="1"/>
    </xf>
    <xf numFmtId="0" fontId="15" fillId="4" borderId="120" xfId="0" applyFont="1" applyFill="1" applyBorder="1" applyAlignment="1">
      <alignment horizontal="right" vertical="center" wrapText="1"/>
    </xf>
    <xf numFmtId="0" fontId="71" fillId="61" borderId="9" xfId="0" applyFont="1" applyFill="1" applyBorder="1" applyAlignment="1">
      <alignment horizontal="left" vertical="top" wrapText="1"/>
    </xf>
    <xf numFmtId="0" fontId="0" fillId="0" borderId="10" xfId="0" applyBorder="1" applyAlignment="1">
      <alignment horizontal="left" vertical="top" wrapText="1"/>
    </xf>
    <xf numFmtId="0" fontId="0" fillId="0" borderId="0" xfId="0" applyAlignment="1"/>
    <xf numFmtId="0" fontId="0" fillId="0" borderId="14" xfId="0" applyBorder="1" applyAlignment="1"/>
    <xf numFmtId="0" fontId="0" fillId="73" borderId="14" xfId="0" applyFill="1" applyBorder="1" applyAlignment="1"/>
  </cellXfs>
  <cellStyles count="221">
    <cellStyle name="20% - Accent1" xfId="37" xr:uid="{00000000-0005-0000-0000-000000000000}"/>
    <cellStyle name="20% - Accent1 2" xfId="64" xr:uid="{00000000-0005-0000-0000-000001000000}"/>
    <cellStyle name="20% - Accent1 3" xfId="78" xr:uid="{00000000-0005-0000-0000-000002000000}"/>
    <cellStyle name="20% - Accent1 4" xfId="97" xr:uid="{00000000-0005-0000-0000-000003000000}"/>
    <cellStyle name="20% - Accent1 5" xfId="203" xr:uid="{A12E73C5-FF38-4AA2-97E4-5100FE0F7A81}"/>
    <cellStyle name="20% - Accent2" xfId="41" xr:uid="{00000000-0005-0000-0000-000004000000}"/>
    <cellStyle name="20% - Accent2 2" xfId="66" xr:uid="{00000000-0005-0000-0000-000005000000}"/>
    <cellStyle name="20% - Accent2 3" xfId="80" xr:uid="{00000000-0005-0000-0000-000006000000}"/>
    <cellStyle name="20% - Accent2 4" xfId="99" xr:uid="{00000000-0005-0000-0000-000007000000}"/>
    <cellStyle name="20% - Accent2 5" xfId="206" xr:uid="{47C87470-03DF-41E6-A15E-67379FC4B084}"/>
    <cellStyle name="20% - Accent3" xfId="45" xr:uid="{00000000-0005-0000-0000-000008000000}"/>
    <cellStyle name="20% - Accent3 2" xfId="68" xr:uid="{00000000-0005-0000-0000-000009000000}"/>
    <cellStyle name="20% - Accent3 3" xfId="82" xr:uid="{00000000-0005-0000-0000-00000A000000}"/>
    <cellStyle name="20% - Accent3 4" xfId="101" xr:uid="{00000000-0005-0000-0000-00000B000000}"/>
    <cellStyle name="20% - Accent3 5" xfId="209" xr:uid="{455D43A2-B4AB-4840-9DB4-EA664181A8EE}"/>
    <cellStyle name="20% - Accent4" xfId="49" xr:uid="{00000000-0005-0000-0000-00000C000000}"/>
    <cellStyle name="20% - Accent4 2" xfId="70" xr:uid="{00000000-0005-0000-0000-00000D000000}"/>
    <cellStyle name="20% - Accent4 3" xfId="84" xr:uid="{00000000-0005-0000-0000-00000E000000}"/>
    <cellStyle name="20% - Accent4 4" xfId="103" xr:uid="{00000000-0005-0000-0000-00000F000000}"/>
    <cellStyle name="20% - Accent4 5" xfId="212" xr:uid="{0373DF35-1DA6-4C3C-BB3E-C867105CF0C7}"/>
    <cellStyle name="20% - Accent5" xfId="53" xr:uid="{00000000-0005-0000-0000-000010000000}"/>
    <cellStyle name="20% - Accent5 2" xfId="72" xr:uid="{00000000-0005-0000-0000-000011000000}"/>
    <cellStyle name="20% - Accent5 3" xfId="86" xr:uid="{00000000-0005-0000-0000-000012000000}"/>
    <cellStyle name="20% - Accent5 4" xfId="105" xr:uid="{00000000-0005-0000-0000-000013000000}"/>
    <cellStyle name="20% - Accent5 5" xfId="215" xr:uid="{44B91C6C-201C-4730-AA23-8D1480EE28F0}"/>
    <cellStyle name="20% - Accent6" xfId="57" xr:uid="{00000000-0005-0000-0000-000014000000}"/>
    <cellStyle name="20% - Accent6 2" xfId="74" xr:uid="{00000000-0005-0000-0000-000015000000}"/>
    <cellStyle name="20% - Accent6 3" xfId="88" xr:uid="{00000000-0005-0000-0000-000016000000}"/>
    <cellStyle name="20% - Accent6 4" xfId="107" xr:uid="{00000000-0005-0000-0000-000017000000}"/>
    <cellStyle name="20% - Accent6 5" xfId="218" xr:uid="{4A82C626-C348-4A99-82A8-7D083BA11126}"/>
    <cellStyle name="40% - Accent1" xfId="38" xr:uid="{00000000-0005-0000-0000-000018000000}"/>
    <cellStyle name="40% - Accent1 2" xfId="65" xr:uid="{00000000-0005-0000-0000-000019000000}"/>
    <cellStyle name="40% - Accent1 3" xfId="79" xr:uid="{00000000-0005-0000-0000-00001A000000}"/>
    <cellStyle name="40% - Accent1 4" xfId="98" xr:uid="{00000000-0005-0000-0000-00001B000000}"/>
    <cellStyle name="40% - Accent1 5" xfId="204" xr:uid="{F3496E01-9B81-4803-96C1-9021AE08D300}"/>
    <cellStyle name="40% - Accent2" xfId="42" xr:uid="{00000000-0005-0000-0000-00001C000000}"/>
    <cellStyle name="40% - Accent2 2" xfId="67" xr:uid="{00000000-0005-0000-0000-00001D000000}"/>
    <cellStyle name="40% - Accent2 3" xfId="81" xr:uid="{00000000-0005-0000-0000-00001E000000}"/>
    <cellStyle name="40% - Accent2 4" xfId="100" xr:uid="{00000000-0005-0000-0000-00001F000000}"/>
    <cellStyle name="40% - Accent2 5" xfId="207" xr:uid="{17D5C248-875B-4B16-9355-F1490C1357CB}"/>
    <cellStyle name="40% - Accent3" xfId="46" xr:uid="{00000000-0005-0000-0000-000020000000}"/>
    <cellStyle name="40% - Accent3 2" xfId="69" xr:uid="{00000000-0005-0000-0000-000021000000}"/>
    <cellStyle name="40% - Accent3 3" xfId="83" xr:uid="{00000000-0005-0000-0000-000022000000}"/>
    <cellStyle name="40% - Accent3 4" xfId="102" xr:uid="{00000000-0005-0000-0000-000023000000}"/>
    <cellStyle name="40% - Accent3 5" xfId="210" xr:uid="{2F5861AB-CC2B-460F-ACF8-212CD17855A2}"/>
    <cellStyle name="40% - Accent4" xfId="50" xr:uid="{00000000-0005-0000-0000-000024000000}"/>
    <cellStyle name="40% - Accent4 2" xfId="71" xr:uid="{00000000-0005-0000-0000-000025000000}"/>
    <cellStyle name="40% - Accent4 3" xfId="85" xr:uid="{00000000-0005-0000-0000-000026000000}"/>
    <cellStyle name="40% - Accent4 4" xfId="104" xr:uid="{00000000-0005-0000-0000-000027000000}"/>
    <cellStyle name="40% - Accent4 5" xfId="213" xr:uid="{21A4AD90-C254-40BB-BED1-DFAE246810F1}"/>
    <cellStyle name="40% - Accent5" xfId="54" xr:uid="{00000000-0005-0000-0000-000028000000}"/>
    <cellStyle name="40% - Accent5 2" xfId="73" xr:uid="{00000000-0005-0000-0000-000029000000}"/>
    <cellStyle name="40% - Accent5 3" xfId="87" xr:uid="{00000000-0005-0000-0000-00002A000000}"/>
    <cellStyle name="40% - Accent5 4" xfId="106" xr:uid="{00000000-0005-0000-0000-00002B000000}"/>
    <cellStyle name="40% - Accent5 5" xfId="216" xr:uid="{6C83115E-A2CE-4F03-8D93-E30489B66FE3}"/>
    <cellStyle name="40% - Accent6" xfId="58" xr:uid="{00000000-0005-0000-0000-00002C000000}"/>
    <cellStyle name="40% - Accent6 2" xfId="75" xr:uid="{00000000-0005-0000-0000-00002D000000}"/>
    <cellStyle name="40% - Accent6 3" xfId="89" xr:uid="{00000000-0005-0000-0000-00002E000000}"/>
    <cellStyle name="40% - Accent6 4" xfId="108" xr:uid="{00000000-0005-0000-0000-00002F000000}"/>
    <cellStyle name="40% - Accent6 5" xfId="219" xr:uid="{E8941473-29BF-48C6-9A6B-7AB67108DFDE}"/>
    <cellStyle name="60% - Accent1" xfId="39" builtinId="32" customBuiltin="1"/>
    <cellStyle name="60% - Accent1 2" xfId="113" xr:uid="{00000000-0005-0000-0000-000031000000}"/>
    <cellStyle name="60% - Accent1 3" xfId="114" xr:uid="{00000000-0005-0000-0000-000032000000}"/>
    <cellStyle name="60% - Accent1 4" xfId="205" xr:uid="{3322741B-5D69-4828-B129-711291489728}"/>
    <cellStyle name="60% - Accent2" xfId="43" builtinId="36" customBuiltin="1"/>
    <cellStyle name="60% - Accent2 2" xfId="115" xr:uid="{00000000-0005-0000-0000-000034000000}"/>
    <cellStyle name="60% - Accent2 3" xfId="116" xr:uid="{00000000-0005-0000-0000-000035000000}"/>
    <cellStyle name="60% - Accent2 4" xfId="208" xr:uid="{E2C118D0-962B-447E-B7FE-A01912FECA25}"/>
    <cellStyle name="60% - Accent3" xfId="47" builtinId="40" customBuiltin="1"/>
    <cellStyle name="60% - Accent3 2" xfId="117" xr:uid="{00000000-0005-0000-0000-000037000000}"/>
    <cellStyle name="60% - Accent3 3" xfId="118" xr:uid="{00000000-0005-0000-0000-000038000000}"/>
    <cellStyle name="60% - Accent3 4" xfId="211" xr:uid="{45952357-43B0-4972-A8C6-ED931CC15738}"/>
    <cellStyle name="60% - Accent4" xfId="51" builtinId="44" customBuiltin="1"/>
    <cellStyle name="60% - Accent4 2" xfId="119" xr:uid="{00000000-0005-0000-0000-00003A000000}"/>
    <cellStyle name="60% - Accent4 3" xfId="120" xr:uid="{00000000-0005-0000-0000-00003B000000}"/>
    <cellStyle name="60% - Accent4 4" xfId="214" xr:uid="{5D25EBEF-A053-44D8-BDFB-3ECDB7ABA6FE}"/>
    <cellStyle name="60% - Accent5" xfId="55" builtinId="48" customBuiltin="1"/>
    <cellStyle name="60% - Accent5 2" xfId="121" xr:uid="{00000000-0005-0000-0000-00003D000000}"/>
    <cellStyle name="60% - Accent5 3" xfId="122" xr:uid="{00000000-0005-0000-0000-00003E000000}"/>
    <cellStyle name="60% - Accent5 4" xfId="217" xr:uid="{F7420951-E403-4759-9CFB-0F216762D70A}"/>
    <cellStyle name="60% - Accent6" xfId="59" builtinId="52" customBuiltin="1"/>
    <cellStyle name="60% - Accent6 2" xfId="123" xr:uid="{00000000-0005-0000-0000-000040000000}"/>
    <cellStyle name="60% - Accent6 3" xfId="124" xr:uid="{00000000-0005-0000-0000-000041000000}"/>
    <cellStyle name="60% - Accent6 4" xfId="220" xr:uid="{11CDFACC-6DA3-40C6-95F1-B3172FB64CCE}"/>
    <cellStyle name="Accent1" xfId="36" builtinId="29" customBuiltin="1"/>
    <cellStyle name="Accent1 2" xfId="7" xr:uid="{00000000-0005-0000-0000-000043000000}"/>
    <cellStyle name="Accent1 3" xfId="125" xr:uid="{00000000-0005-0000-0000-000044000000}"/>
    <cellStyle name="Accent1 4" xfId="126" xr:uid="{00000000-0005-0000-0000-000045000000}"/>
    <cellStyle name="Accent2" xfId="40" builtinId="33" customBuiltin="1"/>
    <cellStyle name="Accent2 2" xfId="127" xr:uid="{00000000-0005-0000-0000-000047000000}"/>
    <cellStyle name="Accent2 3" xfId="128" xr:uid="{00000000-0005-0000-0000-000048000000}"/>
    <cellStyle name="Accent3" xfId="44" builtinId="37" customBuiltin="1"/>
    <cellStyle name="Accent3 2" xfId="129" xr:uid="{00000000-0005-0000-0000-00004A000000}"/>
    <cellStyle name="Accent3 3" xfId="130" xr:uid="{00000000-0005-0000-0000-00004B000000}"/>
    <cellStyle name="Accent4" xfId="48" builtinId="41" customBuiltin="1"/>
    <cellStyle name="Accent4 2" xfId="131" xr:uid="{00000000-0005-0000-0000-00004D000000}"/>
    <cellStyle name="Accent4 3" xfId="132" xr:uid="{00000000-0005-0000-0000-00004E000000}"/>
    <cellStyle name="Accent5" xfId="52" builtinId="45" customBuiltin="1"/>
    <cellStyle name="Accent5 2" xfId="133" xr:uid="{00000000-0005-0000-0000-000050000000}"/>
    <cellStyle name="Accent5 3" xfId="134" xr:uid="{00000000-0005-0000-0000-000051000000}"/>
    <cellStyle name="Accent6" xfId="56" builtinId="49" customBuiltin="1"/>
    <cellStyle name="Accent6 2" xfId="135" xr:uid="{00000000-0005-0000-0000-000053000000}"/>
    <cellStyle name="Accent6 3" xfId="136" xr:uid="{00000000-0005-0000-0000-000054000000}"/>
    <cellStyle name="Bad" xfId="26" builtinId="27" customBuiltin="1"/>
    <cellStyle name="Bad 2" xfId="137" xr:uid="{00000000-0005-0000-0000-000056000000}"/>
    <cellStyle name="Bad 3" xfId="138" xr:uid="{00000000-0005-0000-0000-000057000000}"/>
    <cellStyle name="Body: normal cell" xfId="188" xr:uid="{00000000-0005-0000-0000-000058000000}"/>
    <cellStyle name="Calculation" xfId="30" builtinId="22" customBuiltin="1"/>
    <cellStyle name="Calculation 2" xfId="139" xr:uid="{00000000-0005-0000-0000-00005A000000}"/>
    <cellStyle name="Calculation 3" xfId="140" xr:uid="{00000000-0005-0000-0000-00005B000000}"/>
    <cellStyle name="Calculation 4" xfId="141" xr:uid="{00000000-0005-0000-0000-00005C000000}"/>
    <cellStyle name="Check Cell" xfId="32" builtinId="23" customBuiltin="1"/>
    <cellStyle name="Check Cell 2" xfId="142" xr:uid="{00000000-0005-0000-0000-00005E000000}"/>
    <cellStyle name="Check Cell 3" xfId="143" xr:uid="{00000000-0005-0000-0000-00005F000000}"/>
    <cellStyle name="Comma" xfId="1" builtinId="3"/>
    <cellStyle name="Comma 2" xfId="15" xr:uid="{00000000-0005-0000-0000-000061000000}"/>
    <cellStyle name="Comma 3" xfId="94" xr:uid="{00000000-0005-0000-0000-000062000000}"/>
    <cellStyle name="Comma 3 2" xfId="144" xr:uid="{00000000-0005-0000-0000-000063000000}"/>
    <cellStyle name="Comma 4" xfId="185" xr:uid="{00000000-0005-0000-0000-000064000000}"/>
    <cellStyle name="Comma 5" xfId="17" xr:uid="{00000000-0005-0000-0000-000065000000}"/>
    <cellStyle name="Comma 6" xfId="197" xr:uid="{8614819B-653A-4A41-9EE8-55106F6E54CA}"/>
    <cellStyle name="Currency 2" xfId="145" xr:uid="{00000000-0005-0000-0000-000066000000}"/>
    <cellStyle name="Currency 3" xfId="146" xr:uid="{00000000-0005-0000-0000-000067000000}"/>
    <cellStyle name="Currency 3 2" xfId="147" xr:uid="{00000000-0005-0000-0000-000068000000}"/>
    <cellStyle name="Explanatory Text" xfId="34" builtinId="53" customBuiltin="1"/>
    <cellStyle name="Explanatory Text 2" xfId="148" xr:uid="{00000000-0005-0000-0000-00006A000000}"/>
    <cellStyle name="Explanatory Text 3" xfId="149" xr:uid="{00000000-0005-0000-0000-00006B000000}"/>
    <cellStyle name="Font: Calibri, 9pt regular" xfId="183" xr:uid="{00000000-0005-0000-0000-00006C000000}"/>
    <cellStyle name="Footnotes: all except top row" xfId="190" xr:uid="{00000000-0005-0000-0000-00006D000000}"/>
    <cellStyle name="Footnotes: top row" xfId="191" xr:uid="{00000000-0005-0000-0000-00006E000000}"/>
    <cellStyle name="Good" xfId="25" builtinId="26" customBuiltin="1"/>
    <cellStyle name="Good 2" xfId="150" xr:uid="{00000000-0005-0000-0000-000070000000}"/>
    <cellStyle name="Good 3" xfId="151" xr:uid="{00000000-0005-0000-0000-000071000000}"/>
    <cellStyle name="Header: bottom row" xfId="187" xr:uid="{00000000-0005-0000-0000-000072000000}"/>
    <cellStyle name="Header: top rows" xfId="192" xr:uid="{00000000-0005-0000-0000-000073000000}"/>
    <cellStyle name="Heading 1" xfId="21" builtinId="16" customBuiltin="1"/>
    <cellStyle name="Heading 1 2" xfId="152" xr:uid="{00000000-0005-0000-0000-000075000000}"/>
    <cellStyle name="Heading 1 3" xfId="153" xr:uid="{00000000-0005-0000-0000-000076000000}"/>
    <cellStyle name="Heading 2" xfId="22" builtinId="17" customBuiltin="1"/>
    <cellStyle name="Heading 2 2" xfId="154" xr:uid="{00000000-0005-0000-0000-000078000000}"/>
    <cellStyle name="Heading 2 3" xfId="155" xr:uid="{00000000-0005-0000-0000-000079000000}"/>
    <cellStyle name="Heading 3" xfId="23" builtinId="18" customBuiltin="1"/>
    <cellStyle name="Heading 3 2" xfId="156" xr:uid="{00000000-0005-0000-0000-00007B000000}"/>
    <cellStyle name="Heading 3 3" xfId="157" xr:uid="{00000000-0005-0000-0000-00007C000000}"/>
    <cellStyle name="Heading 4" xfId="24" builtinId="19" customBuiltin="1"/>
    <cellStyle name="Heading 4 2" xfId="158" xr:uid="{00000000-0005-0000-0000-00007E000000}"/>
    <cellStyle name="Heading 4 3" xfId="159" xr:uid="{00000000-0005-0000-0000-00007F000000}"/>
    <cellStyle name="Hyperlink" xfId="2" builtinId="8"/>
    <cellStyle name="Hyperlink 2" xfId="6" xr:uid="{00000000-0005-0000-0000-000081000000}"/>
    <cellStyle name="Hyperlink 2 2" xfId="160" xr:uid="{00000000-0005-0000-0000-000082000000}"/>
    <cellStyle name="Hyperlink 2 3" xfId="161" xr:uid="{00000000-0005-0000-0000-000083000000}"/>
    <cellStyle name="Hyperlink 3" xfId="111" xr:uid="{00000000-0005-0000-0000-000084000000}"/>
    <cellStyle name="Input" xfId="28" builtinId="20" customBuiltin="1"/>
    <cellStyle name="Input 2" xfId="162" xr:uid="{00000000-0005-0000-0000-000086000000}"/>
    <cellStyle name="Input 3" xfId="163" xr:uid="{00000000-0005-0000-0000-000087000000}"/>
    <cellStyle name="Input 4" xfId="164" xr:uid="{00000000-0005-0000-0000-000088000000}"/>
    <cellStyle name="Linked Cell" xfId="31" builtinId="24" customBuiltin="1"/>
    <cellStyle name="Linked Cell 2" xfId="165" xr:uid="{00000000-0005-0000-0000-00008A000000}"/>
    <cellStyle name="Linked Cell 3" xfId="166" xr:uid="{00000000-0005-0000-0000-00008B000000}"/>
    <cellStyle name="Neutral" xfId="27" builtinId="28" customBuiltin="1"/>
    <cellStyle name="Neutral 2" xfId="167" xr:uid="{00000000-0005-0000-0000-00008D000000}"/>
    <cellStyle name="Neutral 3" xfId="168" xr:uid="{00000000-0005-0000-0000-00008E000000}"/>
    <cellStyle name="Neutral 4" xfId="201" xr:uid="{255F6E02-AB78-45EF-BACF-2A41F7CE48E2}"/>
    <cellStyle name="Normal" xfId="0" builtinId="0"/>
    <cellStyle name="Normal 10" xfId="92" xr:uid="{00000000-0005-0000-0000-000090000000}"/>
    <cellStyle name="Normal 10 2" xfId="112" xr:uid="{00000000-0005-0000-0000-000091000000}"/>
    <cellStyle name="Normal 11" xfId="93" xr:uid="{00000000-0005-0000-0000-000092000000}"/>
    <cellStyle name="Normal 12" xfId="95" xr:uid="{00000000-0005-0000-0000-000093000000}"/>
    <cellStyle name="Normal 13" xfId="110" xr:uid="{00000000-0005-0000-0000-000094000000}"/>
    <cellStyle name="Normal 14" xfId="184" xr:uid="{00000000-0005-0000-0000-000095000000}"/>
    <cellStyle name="Normal 15" xfId="196" xr:uid="{479A7EDE-04CD-426B-B38F-084C91E4A4D7}"/>
    <cellStyle name="Normal 16" xfId="199" xr:uid="{A61B72E9-7173-4917-B36A-D3551B0402D8}"/>
    <cellStyle name="Normal 2" xfId="4" xr:uid="{00000000-0005-0000-0000-000096000000}"/>
    <cellStyle name="Normal 2 2" xfId="19" xr:uid="{00000000-0005-0000-0000-000097000000}"/>
    <cellStyle name="Normal 2 2 2" xfId="169" xr:uid="{00000000-0005-0000-0000-000098000000}"/>
    <cellStyle name="Normal 2 2_2010 San Mateo County Master Data Workbook" xfId="170" xr:uid="{00000000-0005-0000-0000-000099000000}"/>
    <cellStyle name="Normal 2_Inventory Data Checklist" xfId="171" xr:uid="{00000000-0005-0000-0000-00009A000000}"/>
    <cellStyle name="Normal 3" xfId="5" xr:uid="{00000000-0005-0000-0000-00009B000000}"/>
    <cellStyle name="Normal 3 2" xfId="9" xr:uid="{00000000-0005-0000-0000-00009C000000}"/>
    <cellStyle name="Normal 3 2 2" xfId="14" xr:uid="{00000000-0005-0000-0000-00009D000000}"/>
    <cellStyle name="Normal 3 2 3" xfId="12" xr:uid="{00000000-0005-0000-0000-00009E000000}"/>
    <cellStyle name="Normal 3 3" xfId="10" xr:uid="{00000000-0005-0000-0000-00009F000000}"/>
    <cellStyle name="Normal 3 4" xfId="172" xr:uid="{00000000-0005-0000-0000-0000A0000000}"/>
    <cellStyle name="Normal 4" xfId="8" xr:uid="{00000000-0005-0000-0000-0000A1000000}"/>
    <cellStyle name="Normal 4 2" xfId="13" xr:uid="{00000000-0005-0000-0000-0000A2000000}"/>
    <cellStyle name="Normal 4 3" xfId="11" xr:uid="{00000000-0005-0000-0000-0000A3000000}"/>
    <cellStyle name="Normal 4 4" xfId="16" xr:uid="{00000000-0005-0000-0000-0000A4000000}"/>
    <cellStyle name="Normal 5" xfId="60" xr:uid="{00000000-0005-0000-0000-0000A5000000}"/>
    <cellStyle name="Normal 5 2" xfId="109" xr:uid="{00000000-0005-0000-0000-0000A6000000}"/>
    <cellStyle name="Normal 6" xfId="62" xr:uid="{00000000-0005-0000-0000-0000A7000000}"/>
    <cellStyle name="Normal 7" xfId="76" xr:uid="{00000000-0005-0000-0000-0000A8000000}"/>
    <cellStyle name="Normal 8" xfId="90" xr:uid="{00000000-0005-0000-0000-0000A9000000}"/>
    <cellStyle name="Normal 9" xfId="91" xr:uid="{00000000-0005-0000-0000-0000AA000000}"/>
    <cellStyle name="Note 2" xfId="61" xr:uid="{00000000-0005-0000-0000-0000AB000000}"/>
    <cellStyle name="Note 3" xfId="63" xr:uid="{00000000-0005-0000-0000-0000AC000000}"/>
    <cellStyle name="Note 4" xfId="77" xr:uid="{00000000-0005-0000-0000-0000AD000000}"/>
    <cellStyle name="Note 5" xfId="96" xr:uid="{00000000-0005-0000-0000-0000AE000000}"/>
    <cellStyle name="Note 6" xfId="202" xr:uid="{DC674DF6-F670-4B2F-BDDC-823535F59E3C}"/>
    <cellStyle name="Output" xfId="29" builtinId="21" customBuiltin="1"/>
    <cellStyle name="Output 2" xfId="173" xr:uid="{00000000-0005-0000-0000-0000B0000000}"/>
    <cellStyle name="Output 3" xfId="174" xr:uid="{00000000-0005-0000-0000-0000B1000000}"/>
    <cellStyle name="Output 4" xfId="175" xr:uid="{00000000-0005-0000-0000-0000B2000000}"/>
    <cellStyle name="Parent row" xfId="189" xr:uid="{00000000-0005-0000-0000-0000B3000000}"/>
    <cellStyle name="Percent" xfId="3" builtinId="5"/>
    <cellStyle name="Percent 2" xfId="18" xr:uid="{00000000-0005-0000-0000-0000B5000000}"/>
    <cellStyle name="Percent 3" xfId="186" xr:uid="{00000000-0005-0000-0000-0000B6000000}"/>
    <cellStyle name="Percent 4" xfId="198" xr:uid="{32BB6F77-D924-4666-B9E3-D8889524E604}"/>
    <cellStyle name="Section Break" xfId="193" xr:uid="{00000000-0005-0000-0000-0000B7000000}"/>
    <cellStyle name="Section Break: parent row" xfId="194" xr:uid="{00000000-0005-0000-0000-0000B8000000}"/>
    <cellStyle name="Table title" xfId="195" xr:uid="{00000000-0005-0000-0000-0000B9000000}"/>
    <cellStyle name="Title" xfId="20" builtinId="15" customBuiltin="1"/>
    <cellStyle name="Title 2" xfId="176" xr:uid="{00000000-0005-0000-0000-0000BB000000}"/>
    <cellStyle name="Title 3" xfId="177" xr:uid="{00000000-0005-0000-0000-0000BC000000}"/>
    <cellStyle name="Title 4" xfId="200" xr:uid="{30366971-D5FF-4D7F-9826-E0573BCDCCBA}"/>
    <cellStyle name="Total" xfId="35" builtinId="25" customBuiltin="1"/>
    <cellStyle name="Total 2" xfId="178" xr:uid="{00000000-0005-0000-0000-0000BE000000}"/>
    <cellStyle name="Total 3" xfId="179" xr:uid="{00000000-0005-0000-0000-0000BF000000}"/>
    <cellStyle name="Total 4" xfId="180" xr:uid="{00000000-0005-0000-0000-0000C0000000}"/>
    <cellStyle name="Warning Text" xfId="33" builtinId="11" customBuiltin="1"/>
    <cellStyle name="Warning Text 2" xfId="181" xr:uid="{00000000-0005-0000-0000-0000C2000000}"/>
    <cellStyle name="Warning Text 3" xfId="182" xr:uid="{00000000-0005-0000-0000-0000C3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FFD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Percent</a:t>
            </a:r>
            <a:r>
              <a:rPr lang="en-US" baseline="0"/>
              <a:t> of Total Building Energy Emissions by Customer Type and Fuel</a:t>
            </a:r>
            <a:endParaRPr lang="en-US"/>
          </a:p>
        </c:rich>
      </c:tx>
      <c:layout>
        <c:manualLayout>
          <c:xMode val="edge"/>
          <c:yMode val="edge"/>
          <c:x val="0.21919968264072442"/>
          <c:y val="3.577291649648711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443787122790735"/>
          <c:y val="0.15624533109446734"/>
          <c:w val="0.35290323178640676"/>
          <c:h val="0.76492162797326269"/>
        </c:manualLayout>
      </c:layout>
      <c:barChart>
        <c:barDir val="col"/>
        <c:grouping val="stacked"/>
        <c:varyColors val="0"/>
        <c:ser>
          <c:idx val="3"/>
          <c:order val="0"/>
          <c:tx>
            <c:strRef>
              <c:f>'All Emissions - Summary'!$C$102</c:f>
              <c:strCache>
                <c:ptCount val="1"/>
                <c:pt idx="0">
                  <c:v> Comm. &amp; Man. Natural Gas</c:v>
                </c:pt>
              </c:strCache>
            </c:strRef>
          </c:tx>
          <c:spPr>
            <a:solidFill>
              <a:schemeClr val="accent4"/>
            </a:solidFill>
            <a:ln>
              <a:noFill/>
            </a:ln>
            <a:effectLst/>
          </c:spPr>
          <c:invertIfNegative val="0"/>
          <c:dLbls>
            <c:delete val="1"/>
          </c:dLbls>
          <c:cat>
            <c:strRef>
              <c:f>'All Emissions - Summary'!$F$40</c:f>
              <c:strCache>
                <c:ptCount val="1"/>
                <c:pt idx="0">
                  <c:v>Emissions 
(MT CO2e)</c:v>
                </c:pt>
              </c:strCache>
            </c:strRef>
          </c:cat>
          <c:val>
            <c:numRef>
              <c:f>'All Emissions - Summary'!$F$102</c:f>
              <c:numCache>
                <c:formatCode>0.0%</c:formatCode>
                <c:ptCount val="1"/>
                <c:pt idx="0">
                  <c:v>0</c:v>
                </c:pt>
              </c:numCache>
            </c:numRef>
          </c:val>
          <c:extLst>
            <c:ext xmlns:c16="http://schemas.microsoft.com/office/drawing/2014/chart" uri="{C3380CC4-5D6E-409C-BE32-E72D297353CC}">
              <c16:uniqueId val="{00000000-FB74-4655-8E23-058E93D0F67C}"/>
            </c:ext>
          </c:extLst>
        </c:ser>
        <c:ser>
          <c:idx val="1"/>
          <c:order val="1"/>
          <c:tx>
            <c:strRef>
              <c:f>'All Emissions - Summary'!$C$99</c:f>
              <c:strCache>
                <c:ptCount val="1"/>
                <c:pt idx="0">
                  <c:v> Res. Natural Gas</c:v>
                </c:pt>
              </c:strCache>
            </c:strRef>
          </c:tx>
          <c:spPr>
            <a:solidFill>
              <a:schemeClr val="accent2"/>
            </a:solidFill>
            <a:ln>
              <a:noFill/>
            </a:ln>
            <a:effectLst/>
          </c:spPr>
          <c:invertIfNegative val="0"/>
          <c:dLbls>
            <c:delete val="1"/>
          </c:dLbls>
          <c:cat>
            <c:strRef>
              <c:f>'All Emissions - Summary'!$F$40</c:f>
              <c:strCache>
                <c:ptCount val="1"/>
                <c:pt idx="0">
                  <c:v>Emissions 
(MT CO2e)</c:v>
                </c:pt>
              </c:strCache>
            </c:strRef>
          </c:cat>
          <c:val>
            <c:numRef>
              <c:f>'All Emissions - Summary'!$F$99</c:f>
              <c:numCache>
                <c:formatCode>0.0%</c:formatCode>
                <c:ptCount val="1"/>
                <c:pt idx="0">
                  <c:v>0</c:v>
                </c:pt>
              </c:numCache>
            </c:numRef>
          </c:val>
          <c:extLst>
            <c:ext xmlns:c16="http://schemas.microsoft.com/office/drawing/2014/chart" uri="{C3380CC4-5D6E-409C-BE32-E72D297353CC}">
              <c16:uniqueId val="{00000001-FB74-4655-8E23-058E93D0F67C}"/>
            </c:ext>
          </c:extLst>
        </c:ser>
        <c:ser>
          <c:idx val="2"/>
          <c:order val="2"/>
          <c:tx>
            <c:strRef>
              <c:f>'All Emissions - Summary'!$C$101</c:f>
              <c:strCache>
                <c:ptCount val="1"/>
                <c:pt idx="0">
                  <c:v> Comm. &amp; Man. Electricity</c:v>
                </c:pt>
              </c:strCache>
            </c:strRef>
          </c:tx>
          <c:spPr>
            <a:solidFill>
              <a:schemeClr val="accent3"/>
            </a:solidFill>
            <a:ln>
              <a:noFill/>
            </a:ln>
            <a:effectLst>
              <a:outerShdw blurRad="40000" dist="23000" dir="5400000" rotWithShape="0">
                <a:srgbClr val="000000">
                  <a:alpha val="35000"/>
                </a:srgbClr>
              </a:outerShdw>
            </a:effectLst>
          </c:spPr>
          <c:invertIfNegative val="0"/>
          <c:dLbls>
            <c:delete val="1"/>
          </c:dLbls>
          <c:cat>
            <c:strRef>
              <c:f>'All Emissions - Summary'!$F$40</c:f>
              <c:strCache>
                <c:ptCount val="1"/>
                <c:pt idx="0">
                  <c:v>Emissions 
(MT CO2e)</c:v>
                </c:pt>
              </c:strCache>
            </c:strRef>
          </c:cat>
          <c:val>
            <c:numRef>
              <c:f>'All Emissions - Summary'!$F$101</c:f>
              <c:numCache>
                <c:formatCode>0.0%</c:formatCode>
                <c:ptCount val="1"/>
                <c:pt idx="0">
                  <c:v>0</c:v>
                </c:pt>
              </c:numCache>
            </c:numRef>
          </c:val>
          <c:extLst>
            <c:ext xmlns:c16="http://schemas.microsoft.com/office/drawing/2014/chart" uri="{C3380CC4-5D6E-409C-BE32-E72D297353CC}">
              <c16:uniqueId val="{00000002-FB74-4655-8E23-058E93D0F67C}"/>
            </c:ext>
          </c:extLst>
        </c:ser>
        <c:ser>
          <c:idx val="0"/>
          <c:order val="3"/>
          <c:tx>
            <c:strRef>
              <c:f>'All Emissions - Summary'!$C$98</c:f>
              <c:strCache>
                <c:ptCount val="1"/>
                <c:pt idx="0">
                  <c:v> Res. Electricity</c:v>
                </c:pt>
              </c:strCache>
            </c:strRef>
          </c:tx>
          <c:spPr>
            <a:solidFill>
              <a:schemeClr val="accent1"/>
            </a:solidFill>
            <a:ln>
              <a:noFill/>
            </a:ln>
            <a:effectLst/>
          </c:spPr>
          <c:invertIfNegative val="0"/>
          <c:dLbls>
            <c:delete val="1"/>
          </c:dLbls>
          <c:cat>
            <c:strRef>
              <c:f>'All Emissions - Summary'!$F$40</c:f>
              <c:strCache>
                <c:ptCount val="1"/>
                <c:pt idx="0">
                  <c:v>Emissions 
(MT CO2e)</c:v>
                </c:pt>
              </c:strCache>
            </c:strRef>
          </c:cat>
          <c:val>
            <c:numRef>
              <c:f>'All Emissions - Summary'!$F$98</c:f>
              <c:numCache>
                <c:formatCode>0.0%</c:formatCode>
                <c:ptCount val="1"/>
                <c:pt idx="0">
                  <c:v>0</c:v>
                </c:pt>
              </c:numCache>
            </c:numRef>
          </c:val>
          <c:extLst>
            <c:ext xmlns:c16="http://schemas.microsoft.com/office/drawing/2014/chart" uri="{C3380CC4-5D6E-409C-BE32-E72D297353CC}">
              <c16:uniqueId val="{00000003-FB74-4655-8E23-058E93D0F67C}"/>
            </c:ext>
          </c:extLst>
        </c:ser>
        <c:ser>
          <c:idx val="4"/>
          <c:order val="4"/>
          <c:tx>
            <c:strRef>
              <c:f>'All Emissions - Summary'!$C$100</c:f>
              <c:strCache>
                <c:ptCount val="1"/>
                <c:pt idx="0">
                  <c:v> Res. Fuel Oil</c:v>
                </c:pt>
              </c:strCache>
            </c:strRef>
          </c:tx>
          <c:spPr>
            <a:solidFill>
              <a:schemeClr val="accent5"/>
            </a:solidFill>
            <a:ln>
              <a:noFill/>
            </a:ln>
            <a:effectLst/>
          </c:spPr>
          <c:invertIfNegative val="0"/>
          <c:dLbls>
            <c:delete val="1"/>
          </c:dLbls>
          <c:val>
            <c:numRef>
              <c:f>'All Emissions - Summary'!$F$100</c:f>
              <c:numCache>
                <c:formatCode>0.0%</c:formatCode>
                <c:ptCount val="1"/>
                <c:pt idx="0">
                  <c:v>0</c:v>
                </c:pt>
              </c:numCache>
            </c:numRef>
          </c:val>
          <c:extLst>
            <c:ext xmlns:c16="http://schemas.microsoft.com/office/drawing/2014/chart" uri="{C3380CC4-5D6E-409C-BE32-E72D297353CC}">
              <c16:uniqueId val="{00000004-FB74-4655-8E23-058E93D0F67C}"/>
            </c:ext>
          </c:extLst>
        </c:ser>
        <c:ser>
          <c:idx val="5"/>
          <c:order val="5"/>
          <c:tx>
            <c:strRef>
              <c:f>'All Emissions - Summary'!$C$103</c:f>
              <c:strCache>
                <c:ptCount val="1"/>
                <c:pt idx="0">
                  <c:v> Comm. &amp; Man. Fuel Oil</c:v>
                </c:pt>
              </c:strCache>
            </c:strRef>
          </c:tx>
          <c:spPr>
            <a:solidFill>
              <a:schemeClr val="accent6"/>
            </a:solidFill>
            <a:ln>
              <a:noFill/>
            </a:ln>
            <a:effectLst/>
          </c:spPr>
          <c:invertIfNegative val="0"/>
          <c:dLbls>
            <c:delete val="1"/>
          </c:dLbls>
          <c:val>
            <c:numRef>
              <c:f>'All Emissions - Summary'!$F$103</c:f>
              <c:numCache>
                <c:formatCode>0.0%</c:formatCode>
                <c:ptCount val="1"/>
                <c:pt idx="0">
                  <c:v>0</c:v>
                </c:pt>
              </c:numCache>
            </c:numRef>
          </c:val>
          <c:extLst>
            <c:ext xmlns:c16="http://schemas.microsoft.com/office/drawing/2014/chart" uri="{C3380CC4-5D6E-409C-BE32-E72D297353CC}">
              <c16:uniqueId val="{00000005-FB74-4655-8E23-058E93D0F67C}"/>
            </c:ext>
          </c:extLst>
        </c:ser>
        <c:dLbls>
          <c:showLegendKey val="0"/>
          <c:showVal val="1"/>
          <c:showCatName val="0"/>
          <c:showSerName val="0"/>
          <c:showPercent val="0"/>
          <c:showBubbleSize val="0"/>
        </c:dLbls>
        <c:gapWidth val="150"/>
        <c:overlap val="100"/>
        <c:axId val="457779208"/>
        <c:axId val="457780384"/>
      </c:barChart>
      <c:catAx>
        <c:axId val="457779208"/>
        <c:scaling>
          <c:orientation val="minMax"/>
        </c:scaling>
        <c:delete val="1"/>
        <c:axPos val="b"/>
        <c:numFmt formatCode="General" sourceLinked="1"/>
        <c:majorTickMark val="none"/>
        <c:minorTickMark val="none"/>
        <c:tickLblPos val="nextTo"/>
        <c:crossAx val="457780384"/>
        <c:crosses val="autoZero"/>
        <c:auto val="1"/>
        <c:lblAlgn val="ctr"/>
        <c:lblOffset val="100"/>
        <c:noMultiLvlLbl val="0"/>
      </c:catAx>
      <c:valAx>
        <c:axId val="457780384"/>
        <c:scaling>
          <c:orientation val="minMax"/>
          <c:max val="1"/>
          <c:min val="0"/>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 MT CO2e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57779208"/>
        <c:crosses val="autoZero"/>
        <c:crossBetween val="between"/>
      </c:valAx>
      <c:spPr>
        <a:noFill/>
        <a:ln>
          <a:noFill/>
        </a:ln>
        <a:effectLst/>
      </c:spPr>
    </c:plotArea>
    <c:legend>
      <c:legendPos val="r"/>
      <c:layout>
        <c:manualLayout>
          <c:xMode val="edge"/>
          <c:yMode val="edge"/>
          <c:x val="0.46832082317371665"/>
          <c:y val="0.2091438838326074"/>
          <c:w val="0.36062396122806378"/>
          <c:h val="0.39821107311033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r>
              <a:rPr lang="en-US" sz="1600" b="1">
                <a:solidFill>
                  <a:schemeClr val="tx2"/>
                </a:solidFill>
              </a:rPr>
              <a:t>Percentage of Building</a:t>
            </a:r>
            <a:r>
              <a:rPr lang="en-US" sz="1600" b="1" baseline="0">
                <a:solidFill>
                  <a:schemeClr val="tx2"/>
                </a:solidFill>
              </a:rPr>
              <a:t> Energy </a:t>
            </a:r>
            <a:r>
              <a:rPr lang="en-US" sz="1600" b="1">
                <a:solidFill>
                  <a:schemeClr val="tx2"/>
                </a:solidFill>
              </a:rPr>
              <a:t>Emissions</a:t>
            </a:r>
            <a:r>
              <a:rPr lang="en-US" sz="1600" b="1" baseline="0">
                <a:solidFill>
                  <a:schemeClr val="tx2"/>
                </a:solidFill>
              </a:rPr>
              <a:t> by Source Energy</a:t>
            </a:r>
            <a:endParaRPr lang="en-US" sz="1600" b="1">
              <a:solidFill>
                <a:schemeClr val="tx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endParaRPr lang="en-US"/>
        </a:p>
      </c:txPr>
    </c:title>
    <c:autoTitleDeleted val="0"/>
    <c:plotArea>
      <c:layout/>
      <c:pieChart>
        <c:varyColors val="1"/>
        <c:ser>
          <c:idx val="0"/>
          <c:order val="0"/>
          <c:spPr>
            <a:ln>
              <a:noFill/>
            </a:ln>
          </c:spPr>
          <c:dPt>
            <c:idx val="0"/>
            <c:bubble3D val="0"/>
            <c:spPr>
              <a:solidFill>
                <a:schemeClr val="accent4"/>
              </a:solidFill>
              <a:ln w="19050">
                <a:noFill/>
              </a:ln>
              <a:effectLst/>
            </c:spPr>
            <c:extLst>
              <c:ext xmlns:c16="http://schemas.microsoft.com/office/drawing/2014/chart" uri="{C3380CC4-5D6E-409C-BE32-E72D297353CC}">
                <c16:uniqueId val="{00000001-24BA-415D-8523-BDC04C757511}"/>
              </c:ext>
            </c:extLst>
          </c:dPt>
          <c:dPt>
            <c:idx val="1"/>
            <c:bubble3D val="0"/>
            <c:spPr>
              <a:solidFill>
                <a:schemeClr val="accent2"/>
              </a:solidFill>
              <a:ln w="19050">
                <a:noFill/>
              </a:ln>
              <a:effectLst/>
            </c:spPr>
            <c:extLst>
              <c:ext xmlns:c16="http://schemas.microsoft.com/office/drawing/2014/chart" uri="{C3380CC4-5D6E-409C-BE32-E72D297353CC}">
                <c16:uniqueId val="{00000003-24BA-415D-8523-BDC04C757511}"/>
              </c:ext>
            </c:extLst>
          </c:dPt>
          <c:dPt>
            <c:idx val="2"/>
            <c:bubble3D val="0"/>
            <c:spPr>
              <a:solidFill>
                <a:schemeClr val="accent3"/>
              </a:solidFill>
              <a:ln w="19050">
                <a:noFill/>
              </a:ln>
              <a:effectLst/>
            </c:spPr>
            <c:extLst>
              <c:ext xmlns:c16="http://schemas.microsoft.com/office/drawing/2014/chart" uri="{C3380CC4-5D6E-409C-BE32-E72D297353CC}">
                <c16:uniqueId val="{00000005-24BA-415D-8523-BDC04C757511}"/>
              </c:ext>
            </c:extLst>
          </c:dPt>
          <c:dLbls>
            <c:dLbl>
              <c:idx val="0"/>
              <c:layout>
                <c:manualLayout>
                  <c:x val="-0.15582761873494283"/>
                  <c:y val="0.14952286410142904"/>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EF5EA90C-8663-4885-A759-527B509D78A5}" type="CATEGORYNAME">
                      <a:rPr lang="en-US">
                        <a:solidFill>
                          <a:schemeClr val="bg1"/>
                        </a:solidFill>
                      </a:rPr>
                      <a:pPr>
                        <a:defRPr>
                          <a:solidFill>
                            <a:schemeClr val="bg1"/>
                          </a:solidFill>
                        </a:defRPr>
                      </a:pPr>
                      <a:t>[]</a:t>
                    </a:fld>
                    <a:r>
                      <a:rPr lang="en-US" baseline="0">
                        <a:solidFill>
                          <a:schemeClr val="bg1"/>
                        </a:solidFill>
                      </a:rPr>
                      <a:t>
</a:t>
                    </a:r>
                    <a:fld id="{7BE5CC47-58B3-4444-BE1E-45A089A288FB}" type="PERCENTAGE">
                      <a:rPr lang="en-US" sz="1200" b="1" baseline="0">
                        <a:solidFill>
                          <a:schemeClr val="bg1"/>
                        </a:solidFill>
                      </a:rPr>
                      <a:pPr>
                        <a:defRPr>
                          <a:solidFill>
                            <a:schemeClr val="bg1"/>
                          </a:solidFill>
                        </a:defRPr>
                      </a:pPr>
                      <a:t>[]</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24BA-415D-8523-BDC04C757511}"/>
                </c:ext>
              </c:extLst>
            </c:dLbl>
            <c:dLbl>
              <c:idx val="1"/>
              <c:layout>
                <c:manualLayout>
                  <c:x val="-0.20597246819785536"/>
                  <c:y val="-2.8239419816351703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C7044120-60A8-4B0D-AC04-79CF80A42A68}" type="CATEGORYNAME">
                      <a:rPr lang="en-US">
                        <a:solidFill>
                          <a:schemeClr val="bg1"/>
                        </a:solidFill>
                      </a:rPr>
                      <a:pPr>
                        <a:defRPr>
                          <a:solidFill>
                            <a:schemeClr val="bg1"/>
                          </a:solidFill>
                        </a:defRPr>
                      </a:pPr>
                      <a:t>[]</a:t>
                    </a:fld>
                    <a:r>
                      <a:rPr lang="en-US" baseline="0">
                        <a:solidFill>
                          <a:schemeClr val="bg1"/>
                        </a:solidFill>
                      </a:rPr>
                      <a:t>
</a:t>
                    </a:r>
                    <a:fld id="{998B1D95-EAD7-4C5F-ADEC-DF72E2CDB0D7}" type="PERCENTAGE">
                      <a:rPr lang="en-US" sz="1200" b="1" baseline="0">
                        <a:solidFill>
                          <a:schemeClr val="bg1"/>
                        </a:solidFill>
                      </a:rPr>
                      <a:pPr>
                        <a:defRPr>
                          <a:solidFill>
                            <a:schemeClr val="bg1"/>
                          </a:solidFill>
                        </a:defRPr>
                      </a:pPr>
                      <a:t>[]</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4BA-415D-8523-BDC04C757511}"/>
                </c:ext>
              </c:extLst>
            </c:dLbl>
            <c:dLbl>
              <c:idx val="2"/>
              <c:layout>
                <c:manualLayout>
                  <c:x val="0.18325803781576722"/>
                  <c:y val="1.5937832303883126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D12425AA-E08A-4A74-B8AC-DD4A3B294C65}" type="CATEGORYNAME">
                      <a:rPr lang="en-US">
                        <a:solidFill>
                          <a:schemeClr val="bg1"/>
                        </a:solidFill>
                      </a:rPr>
                      <a:pPr>
                        <a:defRPr>
                          <a:solidFill>
                            <a:schemeClr val="bg1"/>
                          </a:solidFill>
                        </a:defRPr>
                      </a:pPr>
                      <a:t>[]</a:t>
                    </a:fld>
                    <a:r>
                      <a:rPr lang="en-US" baseline="0">
                        <a:solidFill>
                          <a:schemeClr val="bg1"/>
                        </a:solidFill>
                      </a:rPr>
                      <a:t>
</a:t>
                    </a:r>
                    <a:fld id="{47C1ECAE-E656-48FE-B2FB-C0DD123CD76A}" type="PERCENTAGE">
                      <a:rPr lang="en-US" sz="1200" b="1" baseline="0">
                        <a:solidFill>
                          <a:schemeClr val="bg1"/>
                        </a:solidFill>
                      </a:rPr>
                      <a:pPr>
                        <a:defRPr>
                          <a:solidFill>
                            <a:schemeClr val="bg1"/>
                          </a:solidFill>
                        </a:defRPr>
                      </a:pPr>
                      <a:t>[]</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4BA-415D-8523-BDC04C7575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'All Emissions - Summary'!$C$104:$C$106</c:f>
              <c:strCache>
                <c:ptCount val="3"/>
                <c:pt idx="0">
                  <c:v>Electricity</c:v>
                </c:pt>
                <c:pt idx="1">
                  <c:v>Natural Gas</c:v>
                </c:pt>
                <c:pt idx="2">
                  <c:v>Fuel Oil</c:v>
                </c:pt>
              </c:strCache>
            </c:strRef>
          </c:cat>
          <c:val>
            <c:numRef>
              <c:f>'All Emissions - Summary'!$F$104:$F$106</c:f>
              <c:numCache>
                <c:formatCode>0.0%</c:formatCode>
                <c:ptCount val="3"/>
                <c:pt idx="0">
                  <c:v>0</c:v>
                </c:pt>
                <c:pt idx="1">
                  <c:v>0</c:v>
                </c:pt>
                <c:pt idx="2">
                  <c:v>0</c:v>
                </c:pt>
              </c:numCache>
            </c:numRef>
          </c:val>
          <c:extLst>
            <c:ext xmlns:c16="http://schemas.microsoft.com/office/drawing/2014/chart" uri="{C3380CC4-5D6E-409C-BE32-E72D297353CC}">
              <c16:uniqueId val="{00000006-24BA-415D-8523-BDC04C757511}"/>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Community-wide Emissions</a:t>
            </a:r>
            <a:r>
              <a:rPr lang="en-US" baseline="0"/>
              <a:t> (MT CO2e) by Sector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9418296231491836"/>
          <c:y val="0.3094982838634433"/>
          <c:w val="0.54991803290439489"/>
          <c:h val="0.66154702831024559"/>
        </c:manualLayout>
      </c:layout>
      <c:doughnut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F3D7-49D9-A1C1-182C8D9328A8}"/>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F3D7-49D9-A1C1-182C8D9328A8}"/>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8A22-41C2-95DC-305152EDC1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'All Emissions - Summary'!$B$12:$B$14</c:f>
              <c:strCache>
                <c:ptCount val="3"/>
                <c:pt idx="0">
                  <c:v>Stationary Energy</c:v>
                </c:pt>
                <c:pt idx="1">
                  <c:v>Transportation</c:v>
                </c:pt>
                <c:pt idx="2">
                  <c:v>Waste</c:v>
                </c:pt>
              </c:strCache>
            </c:strRef>
          </c:cat>
          <c:val>
            <c:numRef>
              <c:f>'All Emissions - Summary'!$C$12:$C$14</c:f>
              <c:numCache>
                <c:formatCode>General</c:formatCode>
                <c:ptCount val="3"/>
              </c:numCache>
            </c:numRef>
          </c:val>
          <c:extLst>
            <c:ext xmlns:c16="http://schemas.microsoft.com/office/drawing/2014/chart" uri="{C3380CC4-5D6E-409C-BE32-E72D297353CC}">
              <c16:uniqueId val="{00000006-F3D7-49D9-A1C1-182C8D9328A8}"/>
            </c:ext>
          </c:extLst>
        </c:ser>
        <c:ser>
          <c:idx val="1"/>
          <c:order val="1"/>
          <c:spPr>
            <a:effectLst/>
          </c:spPr>
          <c:dPt>
            <c:idx val="0"/>
            <c:bubble3D val="0"/>
            <c:spPr>
              <a:solidFill>
                <a:schemeClr val="accent5"/>
              </a:solidFill>
              <a:ln>
                <a:noFill/>
              </a:ln>
              <a:effectLst/>
            </c:spPr>
            <c:extLst>
              <c:ext xmlns:c16="http://schemas.microsoft.com/office/drawing/2014/chart" uri="{C3380CC4-5D6E-409C-BE32-E72D297353CC}">
                <c16:uniqueId val="{00000008-F3D7-49D9-A1C1-182C8D9328A8}"/>
              </c:ext>
            </c:extLst>
          </c:dPt>
          <c:dPt>
            <c:idx val="1"/>
            <c:bubble3D val="0"/>
            <c:spPr>
              <a:solidFill>
                <a:schemeClr val="accent2"/>
              </a:solidFill>
              <a:ln>
                <a:noFill/>
              </a:ln>
              <a:effectLst/>
            </c:spPr>
            <c:extLst>
              <c:ext xmlns:c16="http://schemas.microsoft.com/office/drawing/2014/chart" uri="{C3380CC4-5D6E-409C-BE32-E72D297353CC}">
                <c16:uniqueId val="{0000000A-F3D7-49D9-A1C1-182C8D9328A8}"/>
              </c:ext>
            </c:extLst>
          </c:dPt>
          <c:dPt>
            <c:idx val="2"/>
            <c:bubble3D val="0"/>
            <c:spPr>
              <a:solidFill>
                <a:schemeClr val="accent3"/>
              </a:solidFill>
              <a:ln>
                <a:noFill/>
              </a:ln>
              <a:effectLst/>
            </c:spPr>
            <c:extLst>
              <c:ext xmlns:c16="http://schemas.microsoft.com/office/drawing/2014/chart" uri="{C3380CC4-5D6E-409C-BE32-E72D297353CC}">
                <c16:uniqueId val="{0000000B-8A22-41C2-95DC-305152EDC182}"/>
              </c:ext>
            </c:extLst>
          </c:dPt>
          <c:dLbls>
            <c:dLbl>
              <c:idx val="0"/>
              <c:layout>
                <c:manualLayout>
                  <c:x val="0.2018691588785046"/>
                  <c:y val="2.5396821769161325E-2"/>
                </c:manualLayout>
              </c:layout>
              <c:tx>
                <c:rich>
                  <a:bodyPr/>
                  <a:lstStyle/>
                  <a:p>
                    <a:fld id="{21CAAB23-A861-4432-BCA4-6EF15D0DA03A}" type="CATEGORYNAME">
                      <a:rPr lang="en-US"/>
                      <a:pPr/>
                      <a:t>[]</a:t>
                    </a:fld>
                    <a:endParaRPr lang="en-US" baseline="0"/>
                  </a:p>
                  <a:p>
                    <a:fld id="{B55FDACA-B002-4337-A80D-EC441E6571D8}" type="VALUE">
                      <a:rPr lang="en-US" sz="1200" b="1"/>
                      <a:pPr/>
                      <a:t>[]</a:t>
                    </a:fld>
                    <a:endParaRPr lang="en-US" b="1" baseline="0"/>
                  </a:p>
                  <a:p>
                    <a:fld id="{65DD664D-2C07-46F8-9111-E658510249D7}" type="PERCENTAGE">
                      <a:rPr lang="en-US" sz="1100" b="0"/>
                      <a:pPr/>
                      <a:t>[]</a:t>
                    </a:fld>
                    <a:endParaRP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F3D7-49D9-A1C1-182C8D9328A8}"/>
                </c:ext>
              </c:extLst>
            </c:dLbl>
            <c:dLbl>
              <c:idx val="1"/>
              <c:layout>
                <c:manualLayout>
                  <c:x val="-0.12025049178274942"/>
                  <c:y val="-0.10824411534906689"/>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3F4E5717-6692-4620-9856-42128379B1B8}" type="CATEGORYNAME">
                      <a:rPr lang="en-US"/>
                      <a:pPr>
                        <a:defRPr/>
                      </a:pPr>
                      <a:t>[]</a:t>
                    </a:fld>
                    <a:endParaRPr lang="en-US" baseline="0"/>
                  </a:p>
                  <a:p>
                    <a:pPr>
                      <a:defRPr/>
                    </a:pPr>
                    <a:fld id="{27F4D892-83FA-4937-B6C6-C1B2D252ECCF}" type="VALUE">
                      <a:rPr lang="en-US" sz="1200" b="1"/>
                      <a:pPr>
                        <a:defRPr/>
                      </a:pPr>
                      <a:t>[]</a:t>
                    </a:fld>
                    <a:endParaRPr lang="en-US" b="1" baseline="0"/>
                  </a:p>
                  <a:p>
                    <a:pPr>
                      <a:defRPr/>
                    </a:pPr>
                    <a:fld id="{6B064613-CA08-4EF6-AB19-FAAAFD610AE3}" type="PERCENTAGE">
                      <a:rPr lang="en-US" sz="1100"/>
                      <a:pPr>
                        <a:defRPr/>
                      </a:pPr>
                      <a:t>[]</a:t>
                    </a:fld>
                    <a:endParaRPr/>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1917870976382253"/>
                      <c:h val="0.1133842001731568"/>
                    </c:manualLayout>
                  </c15:layout>
                  <c15:dlblFieldTable/>
                  <c15:showDataLabelsRange val="0"/>
                </c:ext>
                <c:ext xmlns:c16="http://schemas.microsoft.com/office/drawing/2014/chart" uri="{C3380CC4-5D6E-409C-BE32-E72D297353CC}">
                  <c16:uniqueId val="{0000000A-F3D7-49D9-A1C1-182C8D9328A8}"/>
                </c:ext>
              </c:extLst>
            </c:dLbl>
            <c:dLbl>
              <c:idx val="2"/>
              <c:layout>
                <c:manualLayout>
                  <c:x val="-6.2305295950155763E-2"/>
                  <c:y val="-0.11972787405461831"/>
                </c:manualLayout>
              </c:layout>
              <c:tx>
                <c:rich>
                  <a:bodyPr/>
                  <a:lstStyle/>
                  <a:p>
                    <a:fld id="{74E21B35-E2D1-45A2-AB7A-9D9A8EE03992}" type="CATEGORYNAME">
                      <a:rPr lang="en-US"/>
                      <a:pPr/>
                      <a:t>[]</a:t>
                    </a:fld>
                    <a:endParaRPr lang="en-US" baseline="0"/>
                  </a:p>
                  <a:p>
                    <a:fld id="{FE13F813-F95F-4226-B9B3-860279A14210}" type="VALUE">
                      <a:rPr lang="en-US" sz="1200" b="1"/>
                      <a:pPr/>
                      <a:t>[]</a:t>
                    </a:fld>
                    <a:endParaRPr lang="en-US" b="1" baseline="0"/>
                  </a:p>
                  <a:p>
                    <a:fld id="{2091A9C9-173E-4EAB-B9F8-2BAF2556934E}" type="PERCENTAGE">
                      <a:rPr lang="en-US" sz="1100"/>
                      <a:pPr/>
                      <a:t>[]</a:t>
                    </a:fld>
                    <a:endParaRPr/>
                  </a:p>
                </c:rich>
              </c:tx>
              <c:showLegendKey val="0"/>
              <c:showVal val="1"/>
              <c:showCatName val="1"/>
              <c:showSerName val="0"/>
              <c:showPercent val="1"/>
              <c:showBubbleSize val="0"/>
              <c:separator>
</c:separator>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B-8A22-41C2-95DC-305152EDC18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'All Emissions - Summary'!$B$12:$B$14</c:f>
              <c:strCache>
                <c:ptCount val="3"/>
                <c:pt idx="0">
                  <c:v>Stationary Energy</c:v>
                </c:pt>
                <c:pt idx="1">
                  <c:v>Transportation</c:v>
                </c:pt>
                <c:pt idx="2">
                  <c:v>Waste</c:v>
                </c:pt>
              </c:strCache>
            </c:strRef>
          </c:cat>
          <c:val>
            <c:numRef>
              <c:f>'All Emissions - Summary'!$D$12:$D$14</c:f>
              <c:numCache>
                <c:formatCode>#,##0</c:formatCode>
                <c:ptCount val="3"/>
                <c:pt idx="0">
                  <c:v>0</c:v>
                </c:pt>
                <c:pt idx="1">
                  <c:v>0</c:v>
                </c:pt>
                <c:pt idx="2">
                  <c:v>1944.6756033754646</c:v>
                </c:pt>
              </c:numCache>
            </c:numRef>
          </c:val>
          <c:extLst>
            <c:ext xmlns:c16="http://schemas.microsoft.com/office/drawing/2014/chart" uri="{C3380CC4-5D6E-409C-BE32-E72D297353CC}">
              <c16:uniqueId val="{0000000D-F3D7-49D9-A1C1-182C8D9328A8}"/>
            </c:ext>
          </c:extLst>
        </c:ser>
        <c:dLbls>
          <c:showLegendKey val="0"/>
          <c:showVal val="1"/>
          <c:showCatName val="1"/>
          <c:showSerName val="0"/>
          <c:showPercent val="0"/>
          <c:showBubbleSize val="0"/>
          <c:showLeaderLines val="1"/>
        </c:dLbls>
        <c:firstSliceAng val="0"/>
        <c:holeSize val="17"/>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Percent of Total Community-wide</a:t>
            </a:r>
            <a:r>
              <a:rPr lang="en-US" baseline="0"/>
              <a:t> </a:t>
            </a:r>
            <a:r>
              <a:rPr lang="en-US"/>
              <a:t>Emissions by Subsector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9052950639234617"/>
          <c:y val="0.28204993314973059"/>
          <c:w val="0.56665921598509872"/>
          <c:h val="0.62427275730731191"/>
        </c:manualLayout>
      </c:layout>
      <c:doughnutChart>
        <c:varyColors val="1"/>
        <c:ser>
          <c:idx val="0"/>
          <c:order val="0"/>
          <c:spPr>
            <a:effectLst/>
          </c:spPr>
          <c:dPt>
            <c:idx val="0"/>
            <c:bubble3D val="0"/>
            <c:spPr>
              <a:solidFill>
                <a:schemeClr val="accent5"/>
              </a:solidFill>
              <a:ln>
                <a:noFill/>
              </a:ln>
              <a:effectLst/>
            </c:spPr>
            <c:extLst>
              <c:ext xmlns:c16="http://schemas.microsoft.com/office/drawing/2014/chart" uri="{C3380CC4-5D6E-409C-BE32-E72D297353CC}">
                <c16:uniqueId val="{00000001-9F8E-4DD1-BDFE-7B46B2831766}"/>
              </c:ext>
            </c:extLst>
          </c:dPt>
          <c:dPt>
            <c:idx val="1"/>
            <c:bubble3D val="0"/>
            <c:spPr>
              <a:solidFill>
                <a:schemeClr val="accent4"/>
              </a:solidFill>
              <a:ln>
                <a:noFill/>
              </a:ln>
              <a:effectLst/>
            </c:spPr>
            <c:extLst>
              <c:ext xmlns:c16="http://schemas.microsoft.com/office/drawing/2014/chart" uri="{C3380CC4-5D6E-409C-BE32-E72D297353CC}">
                <c16:uniqueId val="{00000003-9F8E-4DD1-BDFE-7B46B2831766}"/>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c:spPr>
            <c:extLst>
              <c:ext xmlns:c16="http://schemas.microsoft.com/office/drawing/2014/chart" uri="{C3380CC4-5D6E-409C-BE32-E72D297353CC}">
                <c16:uniqueId val="{00000007-3A3E-4DE7-8A91-CF3D8C414101}"/>
              </c:ext>
            </c:extLst>
          </c:dPt>
          <c:dPt>
            <c:idx val="3"/>
            <c:bubble3D val="0"/>
            <c:spPr>
              <a:solidFill>
                <a:schemeClr val="accent2"/>
              </a:solidFill>
              <a:ln>
                <a:noFill/>
              </a:ln>
              <a:effectLst/>
            </c:spPr>
            <c:extLst>
              <c:ext xmlns:c16="http://schemas.microsoft.com/office/drawing/2014/chart" uri="{C3380CC4-5D6E-409C-BE32-E72D297353CC}">
                <c16:uniqueId val="{00000007-9F8E-4DD1-BDFE-7B46B2831766}"/>
              </c:ext>
            </c:extLst>
          </c:dPt>
          <c:dPt>
            <c:idx val="4"/>
            <c:bubble3D val="0"/>
            <c:spPr>
              <a:solidFill>
                <a:schemeClr val="accent6"/>
              </a:solidFill>
              <a:ln>
                <a:noFill/>
              </a:ln>
              <a:effectLst/>
            </c:spPr>
            <c:extLst>
              <c:ext xmlns:c16="http://schemas.microsoft.com/office/drawing/2014/chart" uri="{C3380CC4-5D6E-409C-BE32-E72D297353CC}">
                <c16:uniqueId val="{00000009-3A3E-4DE7-8A91-CF3D8C414101}"/>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c:spPr>
            <c:extLst>
              <c:ext xmlns:c16="http://schemas.microsoft.com/office/drawing/2014/chart" uri="{C3380CC4-5D6E-409C-BE32-E72D297353CC}">
                <c16:uniqueId val="{0000000B-3A3E-4DE7-8A91-CF3D8C414101}"/>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c:spPr>
            <c:extLst>
              <c:ext xmlns:c16="http://schemas.microsoft.com/office/drawing/2014/chart" uri="{C3380CC4-5D6E-409C-BE32-E72D297353CC}">
                <c16:uniqueId val="{0000000D-3A3E-4DE7-8A91-CF3D8C414101}"/>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c:spPr>
            <c:extLst>
              <c:ext xmlns:c16="http://schemas.microsoft.com/office/drawing/2014/chart" uri="{C3380CC4-5D6E-409C-BE32-E72D297353CC}">
                <c16:uniqueId val="{0000000F-3A3E-4DE7-8A91-CF3D8C414101}"/>
              </c:ext>
            </c:extLst>
          </c:dPt>
          <c:dPt>
            <c:idx val="8"/>
            <c:bubble3D val="0"/>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c:spPr>
            <c:extLst>
              <c:ext xmlns:c16="http://schemas.microsoft.com/office/drawing/2014/chart" uri="{C3380CC4-5D6E-409C-BE32-E72D297353CC}">
                <c16:uniqueId val="{00000011-3A3E-4DE7-8A91-CF3D8C414101}"/>
              </c:ext>
            </c:extLst>
          </c:dPt>
          <c:dLbls>
            <c:dLbl>
              <c:idx val="0"/>
              <c:layout>
                <c:manualLayout>
                  <c:x val="8.0165048824231852E-2"/>
                  <c:y val="-7.9856120649394111E-3"/>
                </c:manualLayout>
              </c:layout>
              <c:tx>
                <c:rich>
                  <a:bodyPr/>
                  <a:lstStyle/>
                  <a:p>
                    <a:fld id="{0F857E4B-2158-4B9F-9018-EA4A70B31847}" type="CATEGORYNAME">
                      <a:rPr lang="en-US"/>
                      <a:pPr/>
                      <a:t>[]</a:t>
                    </a:fld>
                    <a:endParaRPr lang="en-US" baseline="0"/>
                  </a:p>
                  <a:p>
                    <a:fld id="{6961D8DB-FE3F-4D35-83C5-2C3DFE9DA6B3}"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9F8E-4DD1-BDFE-7B46B2831766}"/>
                </c:ext>
              </c:extLst>
            </c:dLbl>
            <c:dLbl>
              <c:idx val="1"/>
              <c:layout>
                <c:manualLayout>
                  <c:x val="0.28291227510008105"/>
                  <c:y val="5.1893548668138979E-2"/>
                </c:manualLayout>
              </c:layout>
              <c:tx>
                <c:rich>
                  <a:bodyPr/>
                  <a:lstStyle/>
                  <a:p>
                    <a:fld id="{AB3D2466-BBC5-4C45-8B03-6176D19BBA8D}" type="CATEGORYNAME">
                      <a:rPr lang="en-US"/>
                      <a:pPr/>
                      <a:t>[]</a:t>
                    </a:fld>
                    <a:endParaRPr lang="en-US" baseline="0"/>
                  </a:p>
                  <a:p>
                    <a:fld id="{2486F34E-AA21-4A52-A680-7F997C24460A}"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F8E-4DD1-BDFE-7B46B2831766}"/>
                </c:ext>
              </c:extLst>
            </c:dLbl>
            <c:dLbl>
              <c:idx val="2"/>
              <c:layout>
                <c:manualLayout>
                  <c:x val="-0.17059482520075114"/>
                  <c:y val="5.0648934487996101E-2"/>
                </c:manualLayout>
              </c:layout>
              <c:tx>
                <c:rich>
                  <a:bodyPr/>
                  <a:lstStyle/>
                  <a:p>
                    <a:fld id="{B2ADE2B7-A396-4FE8-8194-57A3FC62D224}" type="CATEGORYNAME">
                      <a:rPr lang="en-US"/>
                      <a:pPr/>
                      <a:t>[]</a:t>
                    </a:fld>
                    <a:endParaRPr lang="en-US" baseline="0"/>
                  </a:p>
                  <a:p>
                    <a:fld id="{24A0C974-E1E2-433F-BA48-73819D523E1B}" type="VALUE">
                      <a:rPr lang="en-US" sz="1200" b="1"/>
                      <a:pPr/>
                      <a:t>[]</a:t>
                    </a:fld>
                    <a:endParaRPr/>
                  </a:p>
                </c:rich>
              </c:tx>
              <c:showLegendKey val="0"/>
              <c:showVal val="1"/>
              <c:showCatName val="1"/>
              <c:showSerName val="0"/>
              <c:showPercent val="0"/>
              <c:showBubbleSize val="0"/>
              <c:separator>
</c:separator>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7-3A3E-4DE7-8A91-CF3D8C414101}"/>
                </c:ext>
              </c:extLst>
            </c:dLbl>
            <c:dLbl>
              <c:idx val="3"/>
              <c:layout>
                <c:manualLayout>
                  <c:x val="-0.1741862952049775"/>
                  <c:y val="-8.8635635353993228E-2"/>
                </c:manualLayout>
              </c:layout>
              <c:tx>
                <c:rich>
                  <a:bodyPr/>
                  <a:lstStyle/>
                  <a:p>
                    <a:fld id="{3D0EE9DB-A817-45BD-9C56-4A3B84E0E850}" type="CATEGORYNAME">
                      <a:rPr lang="en-US"/>
                      <a:pPr/>
                      <a:t>[]</a:t>
                    </a:fld>
                    <a:endParaRPr lang="en-US" baseline="0"/>
                  </a:p>
                  <a:p>
                    <a:fld id="{5EC7841F-53E2-40D2-BB02-705D05D3BEFC}"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9F8E-4DD1-BDFE-7B46B2831766}"/>
                </c:ext>
              </c:extLst>
            </c:dLbl>
            <c:dLbl>
              <c:idx val="4"/>
              <c:layout>
                <c:manualLayout>
                  <c:x val="-0.15585740692788741"/>
                  <c:y val="-9.9985207754029318E-2"/>
                </c:manualLayout>
              </c:layout>
              <c:tx>
                <c:rich>
                  <a:bodyPr/>
                  <a:lstStyle/>
                  <a:p>
                    <a:fld id="{08A2DA2A-A824-4152-80F7-8135F1F4C9B6}" type="CATEGORYNAME">
                      <a:rPr lang="en-US"/>
                      <a:pPr/>
                      <a:t>[]</a:t>
                    </a:fld>
                    <a:endParaRPr lang="en-US" baseline="0"/>
                  </a:p>
                  <a:p>
                    <a:fld id="{9E7715D8-EEC0-48C9-9A76-BAE8784213B1}" type="VALUE">
                      <a:rPr lang="en-US" sz="1200" b="1"/>
                      <a:pPr/>
                      <a:t>[]</a:t>
                    </a:fld>
                    <a:endParaRPr/>
                  </a:p>
                </c:rich>
              </c:tx>
              <c:showLegendKey val="0"/>
              <c:showVal val="1"/>
              <c:showCatName val="1"/>
              <c:showSerName val="0"/>
              <c:showPercent val="0"/>
              <c:showBubbleSize val="0"/>
              <c:separator>
</c:separator>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9-3A3E-4DE7-8A91-CF3D8C414101}"/>
                </c:ext>
              </c:extLst>
            </c:dLbl>
            <c:dLbl>
              <c:idx val="5"/>
              <c:layout>
                <c:manualLayout>
                  <c:x val="-0.16087519192620831"/>
                  <c:y val="-0.16672386020714489"/>
                </c:manualLayout>
              </c:layout>
              <c:tx>
                <c:rich>
                  <a:bodyPr/>
                  <a:lstStyle/>
                  <a:p>
                    <a:fld id="{31DC97C3-E67A-4D84-A32E-EF83159BAC98}" type="CATEGORYNAME">
                      <a:rPr lang="en-US"/>
                      <a:pPr/>
                      <a:t>[]</a:t>
                    </a:fld>
                    <a:endParaRPr lang="en-US" baseline="0"/>
                  </a:p>
                  <a:p>
                    <a:fld id="{D81FD5EB-28AC-41C2-9189-C8466E4DD22F}" type="VALUE">
                      <a:rPr lang="en-US" sz="1200" b="1"/>
                      <a:pPr/>
                      <a:t>[]</a:t>
                    </a:fld>
                    <a:endParaRPr/>
                  </a:p>
                </c:rich>
              </c:tx>
              <c:showLegendKey val="0"/>
              <c:showVal val="1"/>
              <c:showCatName val="1"/>
              <c:showSerName val="0"/>
              <c:showPercent val="0"/>
              <c:showBubbleSize val="0"/>
              <c:separator>
</c:separator>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B-3A3E-4DE7-8A91-CF3D8C414101}"/>
                </c:ext>
              </c:extLst>
            </c:dLbl>
            <c:dLbl>
              <c:idx val="6"/>
              <c:layout>
                <c:manualLayout>
                  <c:x val="0.15592512480572546"/>
                  <c:y val="-0.15956761618941068"/>
                </c:manualLayout>
              </c:layout>
              <c:tx>
                <c:rich>
                  <a:bodyPr/>
                  <a:lstStyle/>
                  <a:p>
                    <a:fld id="{1CFACE37-90DC-400C-836E-D394079472E8}" type="CATEGORYNAME">
                      <a:rPr lang="en-US"/>
                      <a:pPr/>
                      <a:t>[]</a:t>
                    </a:fld>
                    <a:endParaRPr lang="en-US" baseline="0"/>
                  </a:p>
                  <a:p>
                    <a:fld id="{26FCBC2C-2E7A-44A0-B5A5-612FE2F90A4F}" type="VALUE">
                      <a:rPr lang="en-US" sz="1200" b="1"/>
                      <a:pPr/>
                      <a:t>[]</a:t>
                    </a:fld>
                    <a:endParaRPr/>
                  </a:p>
                </c:rich>
              </c:tx>
              <c:showLegendKey val="0"/>
              <c:showVal val="1"/>
              <c:showCatName val="1"/>
              <c:showSerName val="0"/>
              <c:showPercent val="0"/>
              <c:showBubbleSize val="0"/>
              <c:separator>
</c:separator>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D-3A3E-4DE7-8A91-CF3D8C414101}"/>
                </c:ext>
              </c:extLst>
            </c:dLbl>
            <c:dLbl>
              <c:idx val="7"/>
              <c:layout>
                <c:manualLayout>
                  <c:x val="0.3214890879187654"/>
                  <c:y val="-0.11980884814848759"/>
                </c:manualLayout>
              </c:layout>
              <c:tx>
                <c:rich>
                  <a:bodyPr/>
                  <a:lstStyle/>
                  <a:p>
                    <a:fld id="{C204891D-CAD8-4C60-A164-BD28F73FEBEC}" type="CATEGORYNAME">
                      <a:rPr lang="en-US"/>
                      <a:pPr/>
                      <a:t>[]</a:t>
                    </a:fld>
                    <a:endParaRPr lang="en-US" baseline="0"/>
                  </a:p>
                  <a:p>
                    <a:fld id="{3CD2D3F1-5126-4F9F-A01B-B1269A10E554}" type="VALUE">
                      <a:rPr lang="en-US" sz="1200" b="1"/>
                      <a:pPr/>
                      <a:t>[]</a:t>
                    </a:fld>
                    <a:endParaRPr/>
                  </a:p>
                </c:rich>
              </c:tx>
              <c:showLegendKey val="0"/>
              <c:showVal val="1"/>
              <c:showCatName val="1"/>
              <c:showSerName val="0"/>
              <c:showPercent val="0"/>
              <c:showBubbleSize val="0"/>
              <c:separator>
</c:separator>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F-3A3E-4DE7-8A91-CF3D8C414101}"/>
                </c:ext>
              </c:extLst>
            </c:dLbl>
            <c:dLbl>
              <c:idx val="8"/>
              <c:layout>
                <c:manualLayout>
                  <c:x val="0.32782561794033849"/>
                  <c:y val="-1.0666245837579134E-2"/>
                </c:manualLayout>
              </c:layout>
              <c:tx>
                <c:rich>
                  <a:bodyPr/>
                  <a:lstStyle/>
                  <a:p>
                    <a:fld id="{4795DFB5-95E4-4918-B259-C638B01E7648}" type="CATEGORYNAME">
                      <a:rPr lang="en-US"/>
                      <a:pPr/>
                      <a:t>[]</a:t>
                    </a:fld>
                    <a:endParaRPr lang="en-US" baseline="0"/>
                  </a:p>
                  <a:p>
                    <a:fld id="{60836B80-1E5A-481F-80CB-AA0E28F84391}" type="VALUE">
                      <a:rPr lang="en-US" sz="1200" b="1"/>
                      <a:pPr/>
                      <a:t>[]</a:t>
                    </a:fld>
                    <a:endParaRPr/>
                  </a:p>
                </c:rich>
              </c:tx>
              <c:showLegendKey val="0"/>
              <c:showVal val="1"/>
              <c:showCatName val="1"/>
              <c:showSerName val="0"/>
              <c:showPercent val="0"/>
              <c:showBubbleSize val="0"/>
              <c:separator>
</c:separator>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11-3A3E-4DE7-8A91-CF3D8C4141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0"/>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'All Emissions - Summary'!$B$115:$B$123</c:f>
              <c:strCache>
                <c:ptCount val="9"/>
                <c:pt idx="0">
                  <c:v>Residential Buildings</c:v>
                </c:pt>
                <c:pt idx="1">
                  <c:v>C&amp;I Buildings &amp; Manufacturing Industries</c:v>
                </c:pt>
                <c:pt idx="2">
                  <c:v>Construction</c:v>
                </c:pt>
                <c:pt idx="3">
                  <c:v>On-road</c:v>
                </c:pt>
                <c:pt idx="4">
                  <c:v>Railways (MBTA)</c:v>
                </c:pt>
                <c:pt idx="5">
                  <c:v>Solid Waste Disposal</c:v>
                </c:pt>
                <c:pt idx="6">
                  <c:v>Biological Treatment of Waste</c:v>
                </c:pt>
                <c:pt idx="7">
                  <c:v>Incineration and Open Burning</c:v>
                </c:pt>
                <c:pt idx="8">
                  <c:v>Wastewater Treatment and Discharge</c:v>
                </c:pt>
              </c:strCache>
            </c:strRef>
          </c:cat>
          <c:val>
            <c:numRef>
              <c:f>'All Emissions - Summary'!$C$115:$C$123</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9F8E-4DD1-BDFE-7B46B2831766}"/>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2"/>
                </a:solidFill>
                <a:latin typeface="+mn-lt"/>
                <a:ea typeface="+mn-ea"/>
                <a:cs typeface="+mn-cs"/>
              </a:defRPr>
            </a:pPr>
            <a:r>
              <a:rPr lang="en-US" sz="1800" b="1">
                <a:solidFill>
                  <a:schemeClr val="tx2"/>
                </a:solidFill>
              </a:rPr>
              <a:t>Percent of Total Community-Wide Emissions</a:t>
            </a:r>
            <a:r>
              <a:rPr lang="en-US" sz="1800" b="1" baseline="0">
                <a:solidFill>
                  <a:schemeClr val="tx2"/>
                </a:solidFill>
              </a:rPr>
              <a:t> by Subsector </a:t>
            </a:r>
          </a:p>
          <a:p>
            <a:pPr>
              <a:defRPr sz="1800" b="1">
                <a:solidFill>
                  <a:schemeClr val="tx2"/>
                </a:solidFill>
              </a:defRPr>
            </a:pPr>
            <a:r>
              <a:rPr lang="en-US" sz="1800" b="1" baseline="0">
                <a:solidFill>
                  <a:schemeClr val="tx2"/>
                </a:solidFill>
              </a:rPr>
              <a:t>(with Municipal Emissions Disaggregated)</a:t>
            </a:r>
            <a:endParaRPr lang="en-US" sz="1800" b="1">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2"/>
              </a:solidFill>
              <a:latin typeface="+mn-lt"/>
              <a:ea typeface="+mn-ea"/>
              <a:cs typeface="+mn-cs"/>
            </a:defRPr>
          </a:pPr>
          <a:endParaRPr lang="en-US"/>
        </a:p>
      </c:txPr>
    </c:title>
    <c:autoTitleDeleted val="0"/>
    <c:plotArea>
      <c:layout/>
      <c:doughnutChart>
        <c:varyColors val="1"/>
        <c:ser>
          <c:idx val="0"/>
          <c:order val="0"/>
          <c:spPr>
            <a:ln>
              <a:noFill/>
            </a:ln>
          </c:spPr>
          <c:dPt>
            <c:idx val="0"/>
            <c:bubble3D val="0"/>
            <c:spPr>
              <a:solidFill>
                <a:schemeClr val="accent5"/>
              </a:solidFill>
              <a:ln w="19050">
                <a:noFill/>
              </a:ln>
              <a:effectLst/>
            </c:spPr>
            <c:extLst>
              <c:ext xmlns:c16="http://schemas.microsoft.com/office/drawing/2014/chart" uri="{C3380CC4-5D6E-409C-BE32-E72D297353CC}">
                <c16:uniqueId val="{00000001-88EA-4852-A190-EE01E707B2CD}"/>
              </c:ext>
            </c:extLst>
          </c:dPt>
          <c:dPt>
            <c:idx val="1"/>
            <c:bubble3D val="0"/>
            <c:spPr>
              <a:solidFill>
                <a:schemeClr val="accent4"/>
              </a:solidFill>
              <a:ln w="19050">
                <a:noFill/>
              </a:ln>
              <a:effectLst/>
            </c:spPr>
            <c:extLst>
              <c:ext xmlns:c16="http://schemas.microsoft.com/office/drawing/2014/chart" uri="{C3380CC4-5D6E-409C-BE32-E72D297353CC}">
                <c16:uniqueId val="{00000003-88EA-4852-A190-EE01E707B2CD}"/>
              </c:ext>
            </c:extLst>
          </c:dPt>
          <c:dPt>
            <c:idx val="2"/>
            <c:bubble3D val="0"/>
            <c:spPr>
              <a:solidFill>
                <a:schemeClr val="accent3"/>
              </a:solidFill>
              <a:ln w="19050">
                <a:noFill/>
              </a:ln>
              <a:effectLst/>
            </c:spPr>
            <c:extLst>
              <c:ext xmlns:c16="http://schemas.microsoft.com/office/drawing/2014/chart" uri="{C3380CC4-5D6E-409C-BE32-E72D297353CC}">
                <c16:uniqueId val="{00000005-88EA-4852-A190-EE01E707B2CD}"/>
              </c:ext>
            </c:extLst>
          </c:dPt>
          <c:dPt>
            <c:idx val="3"/>
            <c:bubble3D val="0"/>
            <c:spPr>
              <a:solidFill>
                <a:schemeClr val="accent4"/>
              </a:solidFill>
              <a:ln w="19050">
                <a:noFill/>
              </a:ln>
              <a:effectLst/>
            </c:spPr>
            <c:extLst>
              <c:ext xmlns:c16="http://schemas.microsoft.com/office/drawing/2014/chart" uri="{C3380CC4-5D6E-409C-BE32-E72D297353CC}">
                <c16:uniqueId val="{0000000D-E476-4F4A-84FF-48D1BDA48C77}"/>
              </c:ext>
            </c:extLst>
          </c:dPt>
          <c:dPt>
            <c:idx val="4"/>
            <c:bubble3D val="0"/>
            <c:spPr>
              <a:solidFill>
                <a:schemeClr val="accent2">
                  <a:lumMod val="60000"/>
                  <a:lumOff val="40000"/>
                </a:schemeClr>
              </a:solidFill>
              <a:ln w="19050">
                <a:noFill/>
              </a:ln>
              <a:effectLst/>
            </c:spPr>
            <c:extLst>
              <c:ext xmlns:c16="http://schemas.microsoft.com/office/drawing/2014/chart" uri="{C3380CC4-5D6E-409C-BE32-E72D297353CC}">
                <c16:uniqueId val="{00000009-88EA-4852-A190-EE01E707B2CD}"/>
              </c:ext>
            </c:extLst>
          </c:dPt>
          <c:dPt>
            <c:idx val="5"/>
            <c:bubble3D val="0"/>
            <c:spPr>
              <a:solidFill>
                <a:schemeClr val="accent2"/>
              </a:solidFill>
              <a:ln w="19050">
                <a:noFill/>
              </a:ln>
              <a:effectLst/>
            </c:spPr>
            <c:extLst>
              <c:ext xmlns:c16="http://schemas.microsoft.com/office/drawing/2014/chart" uri="{C3380CC4-5D6E-409C-BE32-E72D297353CC}">
                <c16:uniqueId val="{0000000B-88EA-4852-A190-EE01E707B2CD}"/>
              </c:ext>
            </c:extLst>
          </c:dPt>
          <c:dPt>
            <c:idx val="6"/>
            <c:bubble3D val="0"/>
            <c:spPr>
              <a:solidFill>
                <a:schemeClr val="accent2">
                  <a:lumMod val="50000"/>
                </a:schemeClr>
              </a:solidFill>
              <a:ln w="19050">
                <a:noFill/>
              </a:ln>
              <a:effectLst/>
            </c:spPr>
            <c:extLst>
              <c:ext xmlns:c16="http://schemas.microsoft.com/office/drawing/2014/chart" uri="{C3380CC4-5D6E-409C-BE32-E72D297353CC}">
                <c16:uniqueId val="{0000000D-88EA-4852-A190-EE01E707B2CD}"/>
              </c:ext>
            </c:extLst>
          </c:dPt>
          <c:dPt>
            <c:idx val="7"/>
            <c:bubble3D val="0"/>
            <c:spPr>
              <a:solidFill>
                <a:schemeClr val="accent6"/>
              </a:solidFill>
              <a:ln w="19050">
                <a:noFill/>
              </a:ln>
              <a:effectLst/>
            </c:spPr>
            <c:extLst>
              <c:ext xmlns:c16="http://schemas.microsoft.com/office/drawing/2014/chart" uri="{C3380CC4-5D6E-409C-BE32-E72D297353CC}">
                <c16:uniqueId val="{0000000F-E476-4F4A-84FF-48D1BDA48C77}"/>
              </c:ext>
            </c:extLst>
          </c:dPt>
          <c:dPt>
            <c:idx val="8"/>
            <c:bubble3D val="0"/>
            <c:spPr>
              <a:solidFill>
                <a:schemeClr val="tx1">
                  <a:lumMod val="60000"/>
                  <a:lumOff val="40000"/>
                </a:schemeClr>
              </a:solidFill>
              <a:ln w="19050">
                <a:noFill/>
              </a:ln>
              <a:effectLst/>
            </c:spPr>
            <c:extLst>
              <c:ext xmlns:c16="http://schemas.microsoft.com/office/drawing/2014/chart" uri="{C3380CC4-5D6E-409C-BE32-E72D297353CC}">
                <c16:uniqueId val="{00000011-E476-4F4A-84FF-48D1BDA48C77}"/>
              </c:ext>
            </c:extLst>
          </c:dPt>
          <c:dPt>
            <c:idx val="9"/>
            <c:bubble3D val="0"/>
            <c:spPr>
              <a:solidFill>
                <a:schemeClr val="tx1"/>
              </a:solidFill>
              <a:ln w="19050">
                <a:noFill/>
              </a:ln>
              <a:effectLst/>
            </c:spPr>
            <c:extLst>
              <c:ext xmlns:c16="http://schemas.microsoft.com/office/drawing/2014/chart" uri="{C3380CC4-5D6E-409C-BE32-E72D297353CC}">
                <c16:uniqueId val="{00000013-E476-4F4A-84FF-48D1BDA48C77}"/>
              </c:ext>
            </c:extLst>
          </c:dPt>
          <c:dPt>
            <c:idx val="10"/>
            <c:bubble3D val="0"/>
            <c:spPr>
              <a:solidFill>
                <a:schemeClr val="accent5">
                  <a:lumMod val="60000"/>
                </a:schemeClr>
              </a:solidFill>
              <a:ln w="19050">
                <a:noFill/>
              </a:ln>
              <a:effectLst/>
            </c:spPr>
            <c:extLst>
              <c:ext xmlns:c16="http://schemas.microsoft.com/office/drawing/2014/chart" uri="{C3380CC4-5D6E-409C-BE32-E72D297353CC}">
                <c16:uniqueId val="{00000014-88EA-4852-A190-EE01E707B2CD}"/>
              </c:ext>
            </c:extLst>
          </c:dPt>
          <c:dLbls>
            <c:dLbl>
              <c:idx val="0"/>
              <c:layout>
                <c:manualLayout>
                  <c:x val="0.16376320099031605"/>
                  <c:y val="-4.4205052436938189E-2"/>
                </c:manualLayout>
              </c:layout>
              <c:tx>
                <c:rich>
                  <a:bodyPr/>
                  <a:lstStyle/>
                  <a:p>
                    <a:fld id="{79ED0C74-FB6F-4B9F-9578-11C9B68A3564}" type="CATEGORYNAME">
                      <a:rPr lang="en-US"/>
                      <a:pPr/>
                      <a:t>[]</a:t>
                    </a:fld>
                    <a:r>
                      <a:rPr lang="en-US" baseline="0"/>
                      <a:t>
</a:t>
                    </a:r>
                    <a:fld id="{D3E70D42-B8B8-4569-AAE4-FA9D0888AA9A}"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88EA-4852-A190-EE01E707B2CD}"/>
                </c:ext>
              </c:extLst>
            </c:dLbl>
            <c:dLbl>
              <c:idx val="1"/>
              <c:layout>
                <c:manualLayout>
                  <c:x val="0.22498308921099483"/>
                  <c:y val="7.5354603166046114E-2"/>
                </c:manualLayout>
              </c:layout>
              <c:tx>
                <c:rich>
                  <a:bodyPr/>
                  <a:lstStyle/>
                  <a:p>
                    <a:fld id="{0A2E9CD3-0EB8-48BB-8601-66F676189391}" type="CATEGORYNAME">
                      <a:rPr lang="en-US"/>
                      <a:pPr/>
                      <a:t>[]</a:t>
                    </a:fld>
                    <a:r>
                      <a:rPr lang="en-US" baseline="0"/>
                      <a:t>
</a:t>
                    </a:r>
                    <a:fld id="{228EBD2D-66B7-48B8-B0F5-67D7F45EAD13}"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88EA-4852-A190-EE01E707B2CD}"/>
                </c:ext>
              </c:extLst>
            </c:dLbl>
            <c:dLbl>
              <c:idx val="2"/>
              <c:layout>
                <c:manualLayout>
                  <c:x val="2.1426960877237614E-2"/>
                  <c:y val="0.10059427940825579"/>
                </c:manualLayout>
              </c:layout>
              <c:tx>
                <c:rich>
                  <a:bodyPr/>
                  <a:lstStyle/>
                  <a:p>
                    <a:fld id="{3535B692-0C2C-44A2-9DB2-B81683D52AF5}" type="CATEGORYNAME">
                      <a:rPr lang="en-US"/>
                      <a:pPr/>
                      <a:t>[]</a:t>
                    </a:fld>
                    <a:r>
                      <a:rPr lang="en-US" baseline="0"/>
                      <a:t>
</a:t>
                    </a:r>
                    <a:fld id="{73DA87F4-DFE8-4254-A946-6BB58246B441}"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88EA-4852-A190-EE01E707B2CD}"/>
                </c:ext>
              </c:extLst>
            </c:dLbl>
            <c:dLbl>
              <c:idx val="3"/>
              <c:layout>
                <c:manualLayout>
                  <c:x val="-0.1499887261406633"/>
                  <c:y val="4.9518739223401574E-2"/>
                </c:manualLayout>
              </c:layout>
              <c:tx>
                <c:rich>
                  <a:bodyPr/>
                  <a:lstStyle/>
                  <a:p>
                    <a:fld id="{64146BDD-CA44-415D-AB64-296E2C794D9B}" type="CATEGORYNAME">
                      <a:rPr lang="en-US"/>
                      <a:pPr/>
                      <a:t>[]</a:t>
                    </a:fld>
                    <a:r>
                      <a:rPr lang="en-US" baseline="0"/>
                      <a:t>
</a:t>
                    </a:r>
                    <a:fld id="{483E0110-A40C-430D-BC6D-0B9393B32456}" type="VALUE">
                      <a:rPr lang="en-US" sz="1200" b="1" baseline="0"/>
                      <a:pPr/>
                      <a:t>[]</a:t>
                    </a:fld>
                    <a:endParaRPr lang="en-US" baseline="0"/>
                  </a:p>
                </c:rich>
              </c:tx>
              <c:showLegendKey val="0"/>
              <c:showVal val="1"/>
              <c:showCatName val="1"/>
              <c:showSerName val="0"/>
              <c:showPercent val="0"/>
              <c:showBubbleSize val="0"/>
              <c:separator>
</c:separator>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D-E476-4F4A-84FF-48D1BDA48C77}"/>
                </c:ext>
              </c:extLst>
            </c:dLbl>
            <c:dLbl>
              <c:idx val="4"/>
              <c:layout>
                <c:manualLayout>
                  <c:x val="-0.13774474849652754"/>
                  <c:y val="-1.5070920633209223E-2"/>
                </c:manualLayout>
              </c:layout>
              <c:tx>
                <c:rich>
                  <a:bodyPr/>
                  <a:lstStyle/>
                  <a:p>
                    <a:fld id="{F9D070F5-92A9-4DC1-BE95-E4319B7989EB}" type="CATEGORYNAME">
                      <a:rPr lang="en-US"/>
                      <a:pPr/>
                      <a:t>[]</a:t>
                    </a:fld>
                    <a:r>
                      <a:rPr lang="en-US" baseline="0"/>
                      <a:t>
</a:t>
                    </a:r>
                    <a:fld id="{356F10DB-DA0B-4070-8FFF-67BB2578B887}"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88EA-4852-A190-EE01E707B2CD}"/>
                </c:ext>
              </c:extLst>
            </c:dLbl>
            <c:dLbl>
              <c:idx val="5"/>
              <c:layout>
                <c:manualLayout>
                  <c:x val="-0.13162275967445963"/>
                  <c:y val="-7.6846218086375567E-2"/>
                </c:manualLayout>
              </c:layout>
              <c:tx>
                <c:rich>
                  <a:bodyPr/>
                  <a:lstStyle/>
                  <a:p>
                    <a:fld id="{34A64EF4-F4D4-49F4-B053-9BE833AABDA6}" type="CATEGORYNAME">
                      <a:rPr lang="en-US"/>
                      <a:pPr/>
                      <a:t>[]</a:t>
                    </a:fld>
                    <a:r>
                      <a:rPr lang="en-US" baseline="0"/>
                      <a:t>
</a:t>
                    </a:r>
                    <a:fld id="{DEACE8F6-B23C-409E-99E9-A68A93478427}"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88EA-4852-A190-EE01E707B2CD}"/>
                </c:ext>
              </c:extLst>
            </c:dLbl>
            <c:dLbl>
              <c:idx val="6"/>
              <c:layout>
                <c:manualLayout>
                  <c:x val="-1.5304972055169724E-3"/>
                  <c:y val="-9.3376282510140782E-2"/>
                </c:manualLayout>
              </c:layout>
              <c:tx>
                <c:rich>
                  <a:bodyPr/>
                  <a:lstStyle/>
                  <a:p>
                    <a:fld id="{1BA89B57-5D2B-4E13-9DB5-88F213742FFA}" type="CATEGORYNAME">
                      <a:rPr lang="en-US"/>
                      <a:pPr/>
                      <a:t>[]</a:t>
                    </a:fld>
                    <a:r>
                      <a:rPr lang="en-US" baseline="0"/>
                      <a:t>
</a:t>
                    </a:r>
                    <a:fld id="{94CDB804-DEE9-4D81-824A-05A1CBCB506C}"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88EA-4852-A190-EE01E707B2CD}"/>
                </c:ext>
              </c:extLst>
            </c:dLbl>
            <c:dLbl>
              <c:idx val="7"/>
              <c:layout>
                <c:manualLayout>
                  <c:x val="-0.278550491404089"/>
                  <c:y val="-7.8774606299212596E-2"/>
                </c:manualLayout>
              </c:layout>
              <c:tx>
                <c:rich>
                  <a:bodyPr/>
                  <a:lstStyle/>
                  <a:p>
                    <a:fld id="{A4EA9BF3-301B-4B05-BFAD-4D880530E1B2}" type="CATEGORYNAME">
                      <a:rPr lang="en-US"/>
                      <a:pPr/>
                      <a:t>[]</a:t>
                    </a:fld>
                    <a:r>
                      <a:rPr lang="en-US" baseline="0"/>
                      <a:t>
</a:t>
                    </a:r>
                    <a:fld id="{C235719B-CF89-4B09-95A8-6D278B1AD730}" type="VALUE">
                      <a:rPr lang="en-US" sz="1200" b="1" baseline="0"/>
                      <a:pPr/>
                      <a:t>[]</a:t>
                    </a:fld>
                    <a:endParaRPr lang="en-US" baseline="0"/>
                  </a:p>
                </c:rich>
              </c:tx>
              <c:showLegendKey val="0"/>
              <c:showVal val="1"/>
              <c:showCatName val="1"/>
              <c:showSerName val="0"/>
              <c:showPercent val="0"/>
              <c:showBubbleSize val="0"/>
              <c:separator>
</c:separator>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F-E476-4F4A-84FF-48D1BDA48C77}"/>
                </c:ext>
              </c:extLst>
            </c:dLbl>
            <c:dLbl>
              <c:idx val="8"/>
              <c:layout>
                <c:manualLayout>
                  <c:x val="0.12397027364687477"/>
                  <c:y val="0.15671602839417798"/>
                </c:manualLayout>
              </c:layout>
              <c:tx>
                <c:rich>
                  <a:bodyPr/>
                  <a:lstStyle/>
                  <a:p>
                    <a:fld id="{4A1849D9-44FC-48F2-8314-D7F8610E7F87}" type="CATEGORYNAME">
                      <a:rPr lang="en-US"/>
                      <a:pPr/>
                      <a:t>[]</a:t>
                    </a:fld>
                    <a:r>
                      <a:rPr lang="en-US" baseline="0"/>
                      <a:t>
</a:t>
                    </a:r>
                    <a:fld id="{9BE02023-7CCC-408C-ACF0-7ED31D6CD69C}" type="VALUE">
                      <a:rPr lang="en-US" sz="1200" b="1" baseline="0"/>
                      <a:pPr/>
                      <a:t>[]</a:t>
                    </a:fld>
                    <a:endParaRPr lang="en-US" baseline="0"/>
                  </a:p>
                </c:rich>
              </c:tx>
              <c:showLegendKey val="0"/>
              <c:showVal val="1"/>
              <c:showCatName val="1"/>
              <c:showSerName val="0"/>
              <c:showPercent val="0"/>
              <c:showBubbleSize val="0"/>
              <c:separator>
</c:separator>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11-E476-4F4A-84FF-48D1BDA48C77}"/>
                </c:ext>
              </c:extLst>
            </c:dLbl>
            <c:dLbl>
              <c:idx val="9"/>
              <c:layout>
                <c:manualLayout>
                  <c:x val="0.21733060318340996"/>
                  <c:y val="-5.1856806251491291E-2"/>
                </c:manualLayout>
              </c:layout>
              <c:tx>
                <c:rich>
                  <a:bodyPr/>
                  <a:lstStyle/>
                  <a:p>
                    <a:fld id="{B661D2A0-AD90-4A3E-B593-470CC91C65AE}" type="CATEGORYNAME">
                      <a:rPr lang="en-US"/>
                      <a:pPr/>
                      <a:t>[]</a:t>
                    </a:fld>
                    <a:r>
                      <a:rPr lang="en-US" baseline="0"/>
                      <a:t>
</a:t>
                    </a:r>
                    <a:fld id="{0863D405-EDE3-41AA-B418-5CD08DE72F66}" type="VALUE">
                      <a:rPr lang="en-US" sz="1200" b="1" baseline="0"/>
                      <a:pPr/>
                      <a:t>[]</a:t>
                    </a:fld>
                    <a:endParaRPr lang="en-US" baseline="0"/>
                  </a:p>
                </c:rich>
              </c:tx>
              <c:showLegendKey val="0"/>
              <c:showVal val="1"/>
              <c:showCatName val="1"/>
              <c:showSerName val="0"/>
              <c:showPercent val="0"/>
              <c:showBubbleSize val="0"/>
              <c:separator>
</c:separator>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13-E476-4F4A-84FF-48D1BDA48C77}"/>
                </c:ext>
              </c:extLst>
            </c:dLbl>
            <c:dLbl>
              <c:idx val="10"/>
              <c:layout>
                <c:manualLayout>
                  <c:x val="7.4994363070331541E-2"/>
                  <c:y val="-0.1557701847777822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88EA-4852-A190-EE01E707B2CD}"/>
                </c:ext>
              </c:extLst>
            </c:dLbl>
            <c:dLbl>
              <c:idx val="11"/>
              <c:layout>
                <c:manualLayout>
                  <c:x val="0.22957458082754587"/>
                  <c:y val="-0.1115651323408439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88EA-4852-A190-EE01E707B2CD}"/>
                </c:ext>
              </c:extLst>
            </c:dLbl>
            <c:dLbl>
              <c:idx val="12"/>
              <c:layout>
                <c:manualLayout>
                  <c:x val="0.36731932932407341"/>
                  <c:y val="-7.367508739489697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88EA-4852-A190-EE01E707B2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0"/>
            <c:showBubbleSize val="0"/>
            <c:separator>
</c:separator>
            <c:showLeaderLines val="1"/>
            <c:leaderLines>
              <c:spPr>
                <a:ln w="9525" cap="flat" cmpd="sng" algn="ctr">
                  <a:solidFill>
                    <a:schemeClr val="tx2">
                      <a:lumMod val="25000"/>
                      <a:lumOff val="75000"/>
                    </a:schemeClr>
                  </a:solidFill>
                  <a:round/>
                </a:ln>
                <a:effectLst/>
              </c:spPr>
            </c:leaderLines>
            <c:extLst>
              <c:ext xmlns:c15="http://schemas.microsoft.com/office/drawing/2012/chart" uri="{CE6537A1-D6FC-4f65-9D91-7224C49458BB}"/>
            </c:extLst>
          </c:dLbls>
          <c:cat>
            <c:strRef>
              <c:f>'All Emissions - Summary'!$B$145:$B$155</c:f>
              <c:strCache>
                <c:ptCount val="11"/>
                <c:pt idx="0">
                  <c:v>Residential Buildings</c:v>
                </c:pt>
                <c:pt idx="1">
                  <c:v>C&amp;I Buildings &amp; Manufacturing Industries</c:v>
                </c:pt>
                <c:pt idx="2">
                  <c:v>Municipal Buildings</c:v>
                </c:pt>
                <c:pt idx="3">
                  <c:v>Construction</c:v>
                </c:pt>
                <c:pt idx="4">
                  <c:v>Passenger Vehicles</c:v>
                </c:pt>
                <c:pt idx="5">
                  <c:v>Commercial Vehicles</c:v>
                </c:pt>
                <c:pt idx="6">
                  <c:v>Municipal Vehicles</c:v>
                </c:pt>
                <c:pt idx="7">
                  <c:v>State Vehicles</c:v>
                </c:pt>
                <c:pt idx="8">
                  <c:v>MBTA Public Transportation (Buses, Trolleys, &amp; Railways)</c:v>
                </c:pt>
                <c:pt idx="9">
                  <c:v>Waste (Landfill, Biological Treatment, &amp; Incineration &amp; Open Burning)</c:v>
                </c:pt>
                <c:pt idx="10">
                  <c:v>Wastewater Treatment and Discharge</c:v>
                </c:pt>
              </c:strCache>
            </c:strRef>
          </c:cat>
          <c:val>
            <c:numRef>
              <c:f>'All Emissions - Summary'!$C$145:$C$155</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7-88EA-4852-A190-EE01E707B2CD}"/>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5.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8.emf"/></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1731</xdr:colOff>
      <xdr:row>5</xdr:row>
      <xdr:rowOff>165732</xdr:rowOff>
    </xdr:from>
    <xdr:to>
      <xdr:col>13</xdr:col>
      <xdr:colOff>7507</xdr:colOff>
      <xdr:row>22</xdr:row>
      <xdr:rowOff>124691</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67986" y="1260241"/>
          <a:ext cx="7320976" cy="27852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t>Community Greenhouse</a:t>
          </a:r>
          <a:r>
            <a:rPr lang="en-US" sz="1600" b="1" baseline="0"/>
            <a:t> Gas Inventory</a:t>
          </a:r>
          <a:endParaRPr lang="en-US" sz="1600" b="1"/>
        </a:p>
        <a:p>
          <a:endParaRPr lang="en-US" sz="1400"/>
        </a:p>
        <a:p>
          <a:pPr rtl="0" fontAlgn="base"/>
          <a:r>
            <a:rPr lang="en-US" sz="1100" b="0" i="0" baseline="0">
              <a:solidFill>
                <a:schemeClr val="dk1"/>
              </a:solidFill>
              <a:latin typeface="+mn-lt"/>
              <a:ea typeface="+mn-ea"/>
              <a:cs typeface="+mn-cs"/>
            </a:rPr>
            <a:t>This workbook serves to document the calculations associated with the community-wide greenhouse gas inventory completed for the City/Town of </a:t>
          </a:r>
          <a:r>
            <a:rPr lang="en-US" sz="1100" b="0" i="0" baseline="0">
              <a:solidFill>
                <a:schemeClr val="dk1"/>
              </a:solidFill>
              <a:effectLst/>
              <a:latin typeface="+mn-lt"/>
              <a:ea typeface="+mn-ea"/>
              <a:cs typeface="+mn-cs"/>
            </a:rPr>
            <a:t> _______ </a:t>
          </a:r>
          <a:r>
            <a:rPr lang="en-US" sz="1100" b="0" i="0" baseline="0">
              <a:solidFill>
                <a:schemeClr val="dk1"/>
              </a:solidFill>
              <a:latin typeface="+mn-lt"/>
              <a:ea typeface="+mn-ea"/>
              <a:cs typeface="+mn-cs"/>
            </a:rPr>
            <a:t> for the year of </a:t>
          </a:r>
          <a:r>
            <a:rPr lang="en-US" sz="1100" b="0" i="0" baseline="0">
              <a:solidFill>
                <a:schemeClr val="dk1"/>
              </a:solidFill>
              <a:effectLst/>
              <a:latin typeface="+mn-lt"/>
              <a:ea typeface="+mn-ea"/>
              <a:cs typeface="+mn-cs"/>
            </a:rPr>
            <a:t> _______ </a:t>
          </a:r>
          <a:r>
            <a:rPr lang="en-US" sz="1100" b="0" i="0" baseline="0">
              <a:solidFill>
                <a:schemeClr val="dk1"/>
              </a:solidFill>
              <a:latin typeface="+mn-lt"/>
              <a:ea typeface="+mn-ea"/>
              <a:cs typeface="+mn-cs"/>
            </a:rPr>
            <a:t>. The  inventory is designed according to the Global Protocol for Community-Scale Greenhouse Gas Emission Inventories (GPC) and includes raw data, assumptions, and calculations for the Town in each of the following GPC emission sectors: </a:t>
          </a:r>
        </a:p>
        <a:p>
          <a:pPr rtl="0" fontAlgn="base"/>
          <a:endParaRPr lang="en-US" sz="1100" b="0" i="0" baseline="0">
            <a:solidFill>
              <a:schemeClr val="dk1"/>
            </a:solidFill>
            <a:latin typeface="+mn-lt"/>
            <a:ea typeface="+mn-ea"/>
            <a:cs typeface="+mn-cs"/>
          </a:endParaRPr>
        </a:p>
        <a:p>
          <a:pPr rtl="0" fontAlgn="base"/>
          <a:r>
            <a:rPr lang="en-US" sz="1100" b="0" i="0" baseline="0">
              <a:solidFill>
                <a:schemeClr val="dk1"/>
              </a:solidFill>
              <a:latin typeface="+mn-lt"/>
              <a:ea typeface="+mn-ea"/>
              <a:cs typeface="+mn-cs"/>
            </a:rPr>
            <a:t>1. Stationary Energy</a:t>
          </a:r>
        </a:p>
        <a:p>
          <a:pPr rtl="0" fontAlgn="base"/>
          <a:r>
            <a:rPr lang="en-US" sz="1100" b="0" i="0" baseline="0">
              <a:solidFill>
                <a:schemeClr val="dk1"/>
              </a:solidFill>
              <a:latin typeface="+mn-lt"/>
              <a:ea typeface="+mn-ea"/>
              <a:cs typeface="+mn-cs"/>
            </a:rPr>
            <a:t>2. Transportation</a:t>
          </a:r>
        </a:p>
        <a:p>
          <a:pPr rtl="0" fontAlgn="base"/>
          <a:r>
            <a:rPr lang="en-US" sz="1100" b="0" i="0" baseline="0">
              <a:solidFill>
                <a:schemeClr val="dk1"/>
              </a:solidFill>
              <a:latin typeface="+mn-lt"/>
              <a:ea typeface="+mn-ea"/>
              <a:cs typeface="+mn-cs"/>
            </a:rPr>
            <a:t>3. Waste</a:t>
          </a:r>
        </a:p>
        <a:p>
          <a:pPr rtl="0" fontAlgn="base"/>
          <a:endParaRPr lang="en-US" sz="1100" b="0" i="0" baseline="0">
            <a:solidFill>
              <a:schemeClr val="dk1"/>
            </a:solidFill>
            <a:latin typeface="+mn-lt"/>
            <a:ea typeface="+mn-ea"/>
            <a:cs typeface="+mn-cs"/>
          </a:endParaRPr>
        </a:p>
        <a:p>
          <a:endParaRPr lang="en-US" sz="1100"/>
        </a:p>
        <a:p>
          <a:r>
            <a:rPr lang="en-US" sz="1100" i="1">
              <a:solidFill>
                <a:sysClr val="windowText" lastClr="000000"/>
              </a:solidFill>
            </a:rPr>
            <a:t>Version 6.0</a:t>
          </a:r>
          <a:r>
            <a:rPr lang="en-US" sz="1100" i="1" baseline="0">
              <a:solidFill>
                <a:sysClr val="windowText" lastClr="000000"/>
              </a:solidFill>
            </a:rPr>
            <a:t>: February 2025</a:t>
          </a:r>
        </a:p>
        <a:p>
          <a:r>
            <a:rPr lang="en-US" sz="1100" baseline="0">
              <a:solidFill>
                <a:sysClr val="windowText" lastClr="000000"/>
              </a:solidFill>
            </a:rPr>
            <a:t>Created by DNV GL, with support from MAPC</a:t>
          </a:r>
          <a:br>
            <a:rPr lang="en-US" sz="1100" baseline="0">
              <a:solidFill>
                <a:sysClr val="windowText" lastClr="000000"/>
              </a:solidFill>
            </a:rPr>
          </a:br>
          <a:r>
            <a:rPr lang="en-US" sz="1100" baseline="0">
              <a:solidFill>
                <a:sysClr val="windowText" lastClr="000000"/>
              </a:solidFill>
            </a:rPr>
            <a:t>Maintained by MAPC</a:t>
          </a:r>
        </a:p>
      </xdr:txBody>
    </xdr:sp>
    <xdr:clientData/>
  </xdr:twoCellAnchor>
  <xdr:twoCellAnchor editAs="oneCell">
    <xdr:from>
      <xdr:col>0</xdr:col>
      <xdr:colOff>0</xdr:colOff>
      <xdr:row>0</xdr:row>
      <xdr:rowOff>1</xdr:rowOff>
    </xdr:from>
    <xdr:to>
      <xdr:col>13</xdr:col>
      <xdr:colOff>20955</xdr:colOff>
      <xdr:row>2</xdr:row>
      <xdr:rowOff>95250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7467773" cy="441613"/>
        </a:xfrm>
        <a:prstGeom prst="rect">
          <a:avLst/>
        </a:prstGeom>
        <a:noFill/>
        <a:ln>
          <a:noFill/>
        </a:ln>
      </xdr:spPr>
    </xdr:pic>
    <xdr:clientData/>
  </xdr:twoCellAnchor>
  <xdr:twoCellAnchor editAs="oneCell">
    <xdr:from>
      <xdr:col>11</xdr:col>
      <xdr:colOff>454819</xdr:colOff>
      <xdr:row>3</xdr:row>
      <xdr:rowOff>16668</xdr:rowOff>
    </xdr:from>
    <xdr:to>
      <xdr:col>13</xdr:col>
      <xdr:colOff>17621</xdr:colOff>
      <xdr:row>3</xdr:row>
      <xdr:rowOff>170394</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74632" y="516731"/>
          <a:ext cx="757237" cy="150951"/>
        </a:xfrm>
        <a:prstGeom prst="rect">
          <a:avLst/>
        </a:prstGeom>
        <a:noFill/>
      </xdr:spPr>
    </xdr:pic>
    <xdr:clientData/>
  </xdr:twoCellAnchor>
  <xdr:twoCellAnchor>
    <xdr:from>
      <xdr:col>1</xdr:col>
      <xdr:colOff>521</xdr:colOff>
      <xdr:row>34</xdr:row>
      <xdr:rowOff>77235</xdr:rowOff>
    </xdr:from>
    <xdr:to>
      <xdr:col>13</xdr:col>
      <xdr:colOff>34637</xdr:colOff>
      <xdr:row>41</xdr:row>
      <xdr:rowOff>115513</xdr:rowOff>
    </xdr:to>
    <xdr:sp macro="" textlink="">
      <xdr:nvSpPr>
        <xdr:cNvPr id="6" name="TextBox 5">
          <a:extLst>
            <a:ext uri="{FF2B5EF4-FFF2-40B4-BE49-F238E27FC236}">
              <a16:creationId xmlns:a16="http://schemas.microsoft.com/office/drawing/2014/main" id="{929718F8-F712-4FE5-B944-4F78FEE2C929}"/>
            </a:ext>
          </a:extLst>
        </xdr:cNvPr>
        <xdr:cNvSpPr txBox="1"/>
      </xdr:nvSpPr>
      <xdr:spPr>
        <a:xfrm>
          <a:off x="173703" y="6207871"/>
          <a:ext cx="7307752" cy="12851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t>Updating the tool</a:t>
          </a:r>
          <a:r>
            <a:rPr lang="en-US" sz="1600" b="1" baseline="0"/>
            <a:t> for other inventory years</a:t>
          </a:r>
        </a:p>
        <a:p>
          <a:endParaRPr lang="en-US" sz="1400"/>
        </a:p>
        <a:p>
          <a:pPr rtl="0" fontAlgn="base"/>
          <a:r>
            <a:rPr lang="en-US" sz="1100" b="0" i="0" baseline="0">
              <a:solidFill>
                <a:schemeClr val="dk1"/>
              </a:solidFill>
              <a:latin typeface="+mn-lt"/>
              <a:ea typeface="+mn-ea"/>
              <a:cs typeface="+mn-cs"/>
            </a:rPr>
            <a:t>If this workbook is to be used for creating emissions inventories for any year other than 2022, the "Adjust Inventory Year" section of the workbook will need to be updated. This section includes </a:t>
          </a:r>
          <a:r>
            <a:rPr lang="en-US" sz="1100" b="0" i="0" baseline="0">
              <a:solidFill>
                <a:schemeClr val="dk1"/>
              </a:solidFill>
              <a:effectLst/>
              <a:latin typeface="+mn-lt"/>
              <a:ea typeface="+mn-ea"/>
              <a:cs typeface="+mn-cs"/>
            </a:rPr>
            <a:t>instructions on where to collect and input data for alternative years. The inputs in this section populate the data in the tables throughout the workbook to update all calculatations to the alternative inventory year.</a:t>
          </a:r>
          <a:r>
            <a:rPr lang="en-US" sz="1100" b="0" i="0" baseline="0">
              <a:solidFill>
                <a:schemeClr val="dk1"/>
              </a:solidFill>
              <a:latin typeface="+mn-lt"/>
              <a:ea typeface="+mn-ea"/>
              <a:cs typeface="+mn-cs"/>
            </a:rPr>
            <a:t> </a:t>
          </a:r>
        </a:p>
      </xdr:txBody>
    </xdr:sp>
    <xdr:clientData/>
  </xdr:twoCellAnchor>
  <xdr:twoCellAnchor editAs="oneCell">
    <xdr:from>
      <xdr:col>11</xdr:col>
      <xdr:colOff>388109</xdr:colOff>
      <xdr:row>3</xdr:row>
      <xdr:rowOff>228525</xdr:rowOff>
    </xdr:from>
    <xdr:to>
      <xdr:col>13</xdr:col>
      <xdr:colOff>117930</xdr:colOff>
      <xdr:row>5</xdr:row>
      <xdr:rowOff>136245</xdr:rowOff>
    </xdr:to>
    <xdr:pic>
      <xdr:nvPicPr>
        <xdr:cNvPr id="7" name="Picture 6">
          <a:extLst>
            <a:ext uri="{FF2B5EF4-FFF2-40B4-BE49-F238E27FC236}">
              <a16:creationId xmlns:a16="http://schemas.microsoft.com/office/drawing/2014/main" id="{C9009030-B615-4285-8889-D604876D6B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22654" y="748070"/>
          <a:ext cx="942094" cy="504159"/>
        </a:xfrm>
        <a:prstGeom prst="rect">
          <a:avLst/>
        </a:prstGeom>
      </xdr:spPr>
    </xdr:pic>
    <xdr:clientData/>
  </xdr:twoCellAnchor>
  <xdr:twoCellAnchor>
    <xdr:from>
      <xdr:col>0</xdr:col>
      <xdr:colOff>159846</xdr:colOff>
      <xdr:row>23</xdr:row>
      <xdr:rowOff>51084</xdr:rowOff>
    </xdr:from>
    <xdr:to>
      <xdr:col>13</xdr:col>
      <xdr:colOff>15240</xdr:colOff>
      <xdr:row>33</xdr:row>
      <xdr:rowOff>155864</xdr:rowOff>
    </xdr:to>
    <xdr:sp macro="" textlink="">
      <xdr:nvSpPr>
        <xdr:cNvPr id="8" name="TextBox 7">
          <a:extLst>
            <a:ext uri="{FF2B5EF4-FFF2-40B4-BE49-F238E27FC236}">
              <a16:creationId xmlns:a16="http://schemas.microsoft.com/office/drawing/2014/main" id="{85B33957-9AA2-4960-9D0D-1EDB1F7D3C52}"/>
            </a:ext>
          </a:extLst>
        </xdr:cNvPr>
        <xdr:cNvSpPr txBox="1"/>
      </xdr:nvSpPr>
      <xdr:spPr>
        <a:xfrm>
          <a:off x="159846" y="4138175"/>
          <a:ext cx="7336849" cy="1767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t>Using this tool</a:t>
          </a:r>
          <a:endParaRPr lang="en-US" sz="1600" b="1" baseline="0"/>
        </a:p>
        <a:p>
          <a:endParaRPr lang="en-US" sz="1400"/>
        </a:p>
        <a:p>
          <a:r>
            <a:rPr lang="en-US" sz="1100" b="0" i="0" baseline="0">
              <a:solidFill>
                <a:schemeClr val="dk1"/>
              </a:solidFill>
              <a:effectLst/>
              <a:latin typeface="+mn-lt"/>
              <a:ea typeface="+mn-ea"/>
              <a:cs typeface="+mn-cs"/>
            </a:rPr>
            <a:t>Users should download and review the accompanying guide to this workbook, which can be found on MAPC's Community Greenhouse Gas Inventories webpage: https://www.mapc.org/resource-library/community-ghg-inventory-resources/. </a:t>
          </a:r>
        </a:p>
        <a:p>
          <a:endParaRPr lang="en-US" sz="1100" b="0"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The guide includes a Data Collection Checklist and Worksheet for users to have a single location to collect all of the information and document data sources. The worksheet correlates directly with the INPUTS tab of this workbook. Please note, unless the inventory year is being updated, users should only enter data or edit cells on the INPUTS tab. All of the other tabs in this workbook perform calculations based on the Inputs and should not be edited. </a:t>
          </a:r>
        </a:p>
        <a:p>
          <a:endParaRPr lang="en-US" sz="1400"/>
        </a:p>
        <a:p>
          <a:endParaRPr lang="en-US" sz="1400"/>
        </a:p>
      </xdr:txBody>
    </xdr:sp>
    <xdr:clientData/>
  </xdr:twoCellAnchor>
  <xdr:twoCellAnchor>
    <xdr:from>
      <xdr:col>1</xdr:col>
      <xdr:colOff>1560</xdr:colOff>
      <xdr:row>42</xdr:row>
      <xdr:rowOff>62340</xdr:rowOff>
    </xdr:from>
    <xdr:to>
      <xdr:col>13</xdr:col>
      <xdr:colOff>45201</xdr:colOff>
      <xdr:row>49</xdr:row>
      <xdr:rowOff>50051</xdr:rowOff>
    </xdr:to>
    <xdr:sp macro="" textlink="">
      <xdr:nvSpPr>
        <xdr:cNvPr id="9" name="TextBox 8">
          <a:extLst>
            <a:ext uri="{FF2B5EF4-FFF2-40B4-BE49-F238E27FC236}">
              <a16:creationId xmlns:a16="http://schemas.microsoft.com/office/drawing/2014/main" id="{A38802D2-FA77-47B1-AD97-BDF8CE185A46}"/>
            </a:ext>
          </a:extLst>
        </xdr:cNvPr>
        <xdr:cNvSpPr txBox="1"/>
      </xdr:nvSpPr>
      <xdr:spPr>
        <a:xfrm>
          <a:off x="174742" y="7630385"/>
          <a:ext cx="7317277" cy="1312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t>Comparing municipal emissions and community-wide emissions</a:t>
          </a:r>
          <a:endParaRPr lang="en-US" sz="1600" b="1" baseline="0"/>
        </a:p>
        <a:p>
          <a:endParaRPr lang="en-US" sz="1400"/>
        </a:p>
        <a:p>
          <a:pPr eaLnBrk="1" fontAlgn="auto" latinLnBrk="0" hangingPunct="1"/>
          <a:r>
            <a:rPr lang="en-US" sz="1100">
              <a:solidFill>
                <a:schemeClr val="dk1"/>
              </a:solidFill>
              <a:effectLst/>
              <a:latin typeface="+mn-lt"/>
              <a:ea typeface="+mn-ea"/>
              <a:cs typeface="+mn-cs"/>
            </a:rPr>
            <a:t>In the</a:t>
          </a:r>
          <a:r>
            <a:rPr lang="en-US" sz="1100" baseline="0">
              <a:solidFill>
                <a:schemeClr val="dk1"/>
              </a:solidFill>
              <a:effectLst/>
              <a:latin typeface="+mn-lt"/>
              <a:ea typeface="+mn-ea"/>
              <a:cs typeface="+mn-cs"/>
            </a:rPr>
            <a:t> All Emissions Summary and Multi-year Emissions trend there are tables where communities may enter data from Mass Energy Insight to compare emissions from municipal operations energy use and fleet vehicles with the overall community-wide emissions. The tables are shown in GREEN.  </a:t>
          </a:r>
          <a:r>
            <a:rPr lang="en-US" sz="1100" u="sng" baseline="0">
              <a:solidFill>
                <a:schemeClr val="dk1"/>
              </a:solidFill>
              <a:effectLst/>
              <a:latin typeface="+mn-lt"/>
              <a:ea typeface="+mn-ea"/>
              <a:cs typeface="+mn-cs"/>
            </a:rPr>
            <a:t>Please note, these emissions are included in the community-wide emissions and are not to in addition to the community-wide emissions. </a:t>
          </a:r>
          <a:endParaRPr lang="en-US">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123825</xdr:colOff>
      <xdr:row>0</xdr:row>
      <xdr:rowOff>95250</xdr:rowOff>
    </xdr:from>
    <xdr:to>
      <xdr:col>9</xdr:col>
      <xdr:colOff>936967</xdr:colOff>
      <xdr:row>6</xdr:row>
      <xdr:rowOff>36410</xdr:rowOff>
    </xdr:to>
    <xdr:pic>
      <xdr:nvPicPr>
        <xdr:cNvPr id="5" name="Picture 4">
          <a:extLst>
            <a:ext uri="{FF2B5EF4-FFF2-40B4-BE49-F238E27FC236}">
              <a16:creationId xmlns:a16="http://schemas.microsoft.com/office/drawing/2014/main" id="{7237EA44-7ADA-4D08-888D-A3E8DBECD4B7}"/>
            </a:ext>
          </a:extLst>
        </xdr:cNvPr>
        <xdr:cNvPicPr>
          <a:picLocks noChangeAspect="1"/>
        </xdr:cNvPicPr>
      </xdr:nvPicPr>
      <xdr:blipFill>
        <a:blip xmlns:r="http://schemas.openxmlformats.org/officeDocument/2006/relationships" r:embed="rId1"/>
        <a:stretch>
          <a:fillRect/>
        </a:stretch>
      </xdr:blipFill>
      <xdr:spPr>
        <a:xfrm>
          <a:off x="7867650" y="95250"/>
          <a:ext cx="2702902" cy="10746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1</xdr:col>
      <xdr:colOff>304800</xdr:colOff>
      <xdr:row>84</xdr:row>
      <xdr:rowOff>171648</xdr:rowOff>
    </xdr:to>
    <xdr:sp macro="" textlink="">
      <xdr:nvSpPr>
        <xdr:cNvPr id="2" name="AutoShape 4" descr="+">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3" name="AutoShape 5" descr="+">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209244</xdr:rowOff>
    </xdr:to>
    <xdr:sp macro="" textlink="">
      <xdr:nvSpPr>
        <xdr:cNvPr id="4" name="AutoShape 6" descr="+">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0" y="20821650"/>
          <a:ext cx="304800" cy="2017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174582</xdr:rowOff>
    </xdr:to>
    <xdr:sp macro="" textlink="">
      <xdr:nvSpPr>
        <xdr:cNvPr id="5" name="AutoShape 7" descr="+">
          <a:extLst>
            <a:ext uri="{FF2B5EF4-FFF2-40B4-BE49-F238E27FC236}">
              <a16:creationId xmlns:a16="http://schemas.microsoft.com/office/drawing/2014/main" id="{00000000-0008-0000-0A00-000005000000}"/>
            </a:ext>
          </a:extLst>
        </xdr:cNvPr>
        <xdr:cNvSpPr>
          <a:spLocks noChangeAspect="1" noChangeArrowheads="1"/>
        </xdr:cNvSpPr>
      </xdr:nvSpPr>
      <xdr:spPr bwMode="auto">
        <a:xfrm>
          <a:off x="0" y="20821650"/>
          <a:ext cx="304800" cy="17466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209245</xdr:rowOff>
    </xdr:to>
    <xdr:sp macro="" textlink="">
      <xdr:nvSpPr>
        <xdr:cNvPr id="6" name="AutoShape 8" descr="+">
          <a:extLst>
            <a:ext uri="{FF2B5EF4-FFF2-40B4-BE49-F238E27FC236}">
              <a16:creationId xmlns:a16="http://schemas.microsoft.com/office/drawing/2014/main" id="{00000000-0008-0000-0A00-000006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209242</xdr:rowOff>
    </xdr:to>
    <xdr:sp macro="" textlink="">
      <xdr:nvSpPr>
        <xdr:cNvPr id="7" name="AutoShape 9" descr="+">
          <a:extLst>
            <a:ext uri="{FF2B5EF4-FFF2-40B4-BE49-F238E27FC236}">
              <a16:creationId xmlns:a16="http://schemas.microsoft.com/office/drawing/2014/main" id="{00000000-0008-0000-0A00-000007000000}"/>
            </a:ext>
          </a:extLst>
        </xdr:cNvPr>
        <xdr:cNvSpPr>
          <a:spLocks noChangeAspect="1" noChangeArrowheads="1"/>
        </xdr:cNvSpPr>
      </xdr:nvSpPr>
      <xdr:spPr bwMode="auto">
        <a:xfrm>
          <a:off x="0" y="20821650"/>
          <a:ext cx="304800" cy="201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209245</xdr:rowOff>
    </xdr:to>
    <xdr:sp macro="" textlink="">
      <xdr:nvSpPr>
        <xdr:cNvPr id="8" name="AutoShape 10" descr="+">
          <a:extLst>
            <a:ext uri="{FF2B5EF4-FFF2-40B4-BE49-F238E27FC236}">
              <a16:creationId xmlns:a16="http://schemas.microsoft.com/office/drawing/2014/main" id="{00000000-0008-0000-0A00-000008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207337</xdr:rowOff>
    </xdr:to>
    <xdr:sp macro="" textlink="">
      <xdr:nvSpPr>
        <xdr:cNvPr id="9" name="AutoShape 11" descr="+">
          <a:extLst>
            <a:ext uri="{FF2B5EF4-FFF2-40B4-BE49-F238E27FC236}">
              <a16:creationId xmlns:a16="http://schemas.microsoft.com/office/drawing/2014/main" id="{00000000-0008-0000-0A00-000009000000}"/>
            </a:ext>
          </a:extLst>
        </xdr:cNvPr>
        <xdr:cNvSpPr>
          <a:spLocks noChangeAspect="1" noChangeArrowheads="1"/>
        </xdr:cNvSpPr>
      </xdr:nvSpPr>
      <xdr:spPr bwMode="auto">
        <a:xfrm>
          <a:off x="0" y="20821650"/>
          <a:ext cx="304800" cy="1921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287610</xdr:rowOff>
    </xdr:to>
    <xdr:sp macro="" textlink="">
      <xdr:nvSpPr>
        <xdr:cNvPr id="10" name="AutoShape 12" descr="+">
          <a:extLst>
            <a:ext uri="{FF2B5EF4-FFF2-40B4-BE49-F238E27FC236}">
              <a16:creationId xmlns:a16="http://schemas.microsoft.com/office/drawing/2014/main" id="{00000000-0008-0000-0A00-00000A000000}"/>
            </a:ext>
          </a:extLst>
        </xdr:cNvPr>
        <xdr:cNvSpPr>
          <a:spLocks noChangeAspect="1" noChangeArrowheads="1"/>
        </xdr:cNvSpPr>
      </xdr:nvSpPr>
      <xdr:spPr bwMode="auto">
        <a:xfrm>
          <a:off x="0" y="20821650"/>
          <a:ext cx="304800" cy="2705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173048</xdr:rowOff>
    </xdr:to>
    <xdr:sp macro="" textlink="">
      <xdr:nvSpPr>
        <xdr:cNvPr id="11" name="AutoShape 13" descr="+">
          <a:extLst>
            <a:ext uri="{FF2B5EF4-FFF2-40B4-BE49-F238E27FC236}">
              <a16:creationId xmlns:a16="http://schemas.microsoft.com/office/drawing/2014/main" id="{00000000-0008-0000-0A00-00000B000000}"/>
            </a:ext>
          </a:extLst>
        </xdr:cNvPr>
        <xdr:cNvSpPr>
          <a:spLocks noChangeAspect="1" noChangeArrowheads="1"/>
        </xdr:cNvSpPr>
      </xdr:nvSpPr>
      <xdr:spPr bwMode="auto">
        <a:xfrm>
          <a:off x="0" y="20821650"/>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209245</xdr:rowOff>
    </xdr:to>
    <xdr:sp macro="" textlink="">
      <xdr:nvSpPr>
        <xdr:cNvPr id="12" name="AutoShape 14" descr="+">
          <a:extLst>
            <a:ext uri="{FF2B5EF4-FFF2-40B4-BE49-F238E27FC236}">
              <a16:creationId xmlns:a16="http://schemas.microsoft.com/office/drawing/2014/main" id="{00000000-0008-0000-0A00-00000C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209242</xdr:rowOff>
    </xdr:to>
    <xdr:sp macro="" textlink="">
      <xdr:nvSpPr>
        <xdr:cNvPr id="13" name="AutoShape 15" descr="+">
          <a:extLst>
            <a:ext uri="{FF2B5EF4-FFF2-40B4-BE49-F238E27FC236}">
              <a16:creationId xmlns:a16="http://schemas.microsoft.com/office/drawing/2014/main" id="{00000000-0008-0000-0A00-00000D000000}"/>
            </a:ext>
          </a:extLst>
        </xdr:cNvPr>
        <xdr:cNvSpPr>
          <a:spLocks noChangeAspect="1" noChangeArrowheads="1"/>
        </xdr:cNvSpPr>
      </xdr:nvSpPr>
      <xdr:spPr bwMode="auto">
        <a:xfrm>
          <a:off x="0" y="20821650"/>
          <a:ext cx="304800" cy="201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207058</xdr:rowOff>
    </xdr:to>
    <xdr:sp macro="" textlink="">
      <xdr:nvSpPr>
        <xdr:cNvPr id="14" name="AutoShape 16" descr="+">
          <a:extLst>
            <a:ext uri="{FF2B5EF4-FFF2-40B4-BE49-F238E27FC236}">
              <a16:creationId xmlns:a16="http://schemas.microsoft.com/office/drawing/2014/main" id="{00000000-0008-0000-0A00-00000E000000}"/>
            </a:ext>
          </a:extLst>
        </xdr:cNvPr>
        <xdr:cNvSpPr>
          <a:spLocks noChangeAspect="1" noChangeArrowheads="1"/>
        </xdr:cNvSpPr>
      </xdr:nvSpPr>
      <xdr:spPr bwMode="auto">
        <a:xfrm>
          <a:off x="0" y="20821650"/>
          <a:ext cx="304800" cy="191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174240</xdr:rowOff>
    </xdr:to>
    <xdr:sp macro="" textlink="">
      <xdr:nvSpPr>
        <xdr:cNvPr id="15" name="AutoShape 17" descr="+">
          <a:extLst>
            <a:ext uri="{FF2B5EF4-FFF2-40B4-BE49-F238E27FC236}">
              <a16:creationId xmlns:a16="http://schemas.microsoft.com/office/drawing/2014/main" id="{00000000-0008-0000-0A00-00000F000000}"/>
            </a:ext>
          </a:extLst>
        </xdr:cNvPr>
        <xdr:cNvSpPr>
          <a:spLocks noChangeAspect="1" noChangeArrowheads="1"/>
        </xdr:cNvSpPr>
      </xdr:nvSpPr>
      <xdr:spPr bwMode="auto">
        <a:xfrm>
          <a:off x="0" y="20821650"/>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174242</xdr:rowOff>
    </xdr:to>
    <xdr:sp macro="" textlink="">
      <xdr:nvSpPr>
        <xdr:cNvPr id="16" name="AutoShape 18" descr="+">
          <a:extLst>
            <a:ext uri="{FF2B5EF4-FFF2-40B4-BE49-F238E27FC236}">
              <a16:creationId xmlns:a16="http://schemas.microsoft.com/office/drawing/2014/main" id="{00000000-0008-0000-0A00-000010000000}"/>
            </a:ext>
          </a:extLst>
        </xdr:cNvPr>
        <xdr:cNvSpPr>
          <a:spLocks noChangeAspect="1" noChangeArrowheads="1"/>
        </xdr:cNvSpPr>
      </xdr:nvSpPr>
      <xdr:spPr bwMode="auto">
        <a:xfrm>
          <a:off x="0" y="20821650"/>
          <a:ext cx="304800" cy="1781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169927</xdr:rowOff>
    </xdr:to>
    <xdr:sp macro="" textlink="">
      <xdr:nvSpPr>
        <xdr:cNvPr id="17" name="AutoShape 19" descr="+">
          <a:extLst>
            <a:ext uri="{FF2B5EF4-FFF2-40B4-BE49-F238E27FC236}">
              <a16:creationId xmlns:a16="http://schemas.microsoft.com/office/drawing/2014/main" id="{00000000-0008-0000-0A00-000011000000}"/>
            </a:ext>
          </a:extLst>
        </xdr:cNvPr>
        <xdr:cNvSpPr>
          <a:spLocks noChangeAspect="1" noChangeArrowheads="1"/>
        </xdr:cNvSpPr>
      </xdr:nvSpPr>
      <xdr:spPr bwMode="auto">
        <a:xfrm>
          <a:off x="0" y="20821650"/>
          <a:ext cx="304800" cy="1795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174239</xdr:rowOff>
    </xdr:to>
    <xdr:sp macro="" textlink="">
      <xdr:nvSpPr>
        <xdr:cNvPr id="18" name="AutoShape 20" descr="+">
          <a:extLst>
            <a:ext uri="{FF2B5EF4-FFF2-40B4-BE49-F238E27FC236}">
              <a16:creationId xmlns:a16="http://schemas.microsoft.com/office/drawing/2014/main" id="{00000000-0008-0000-0A00-000012000000}"/>
            </a:ext>
          </a:extLst>
        </xdr:cNvPr>
        <xdr:cNvSpPr>
          <a:spLocks noChangeAspect="1" noChangeArrowheads="1"/>
        </xdr:cNvSpPr>
      </xdr:nvSpPr>
      <xdr:spPr bwMode="auto">
        <a:xfrm>
          <a:off x="0" y="20821650"/>
          <a:ext cx="304800" cy="178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208029</xdr:rowOff>
    </xdr:to>
    <xdr:sp macro="" textlink="">
      <xdr:nvSpPr>
        <xdr:cNvPr id="19" name="AutoShape 21" descr="+">
          <a:extLst>
            <a:ext uri="{FF2B5EF4-FFF2-40B4-BE49-F238E27FC236}">
              <a16:creationId xmlns:a16="http://schemas.microsoft.com/office/drawing/2014/main" id="{00000000-0008-0000-0A00-000013000000}"/>
            </a:ext>
          </a:extLst>
        </xdr:cNvPr>
        <xdr:cNvSpPr>
          <a:spLocks noChangeAspect="1" noChangeArrowheads="1"/>
        </xdr:cNvSpPr>
      </xdr:nvSpPr>
      <xdr:spPr bwMode="auto">
        <a:xfrm>
          <a:off x="0" y="20821650"/>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208024</xdr:rowOff>
    </xdr:to>
    <xdr:sp macro="" textlink="">
      <xdr:nvSpPr>
        <xdr:cNvPr id="20" name="AutoShape 22" descr="+">
          <a:extLst>
            <a:ext uri="{FF2B5EF4-FFF2-40B4-BE49-F238E27FC236}">
              <a16:creationId xmlns:a16="http://schemas.microsoft.com/office/drawing/2014/main" id="{00000000-0008-0000-0A00-000014000000}"/>
            </a:ext>
          </a:extLst>
        </xdr:cNvPr>
        <xdr:cNvSpPr>
          <a:spLocks noChangeAspect="1" noChangeArrowheads="1"/>
        </xdr:cNvSpPr>
      </xdr:nvSpPr>
      <xdr:spPr bwMode="auto">
        <a:xfrm>
          <a:off x="0" y="20821650"/>
          <a:ext cx="304800" cy="208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208028</xdr:rowOff>
    </xdr:to>
    <xdr:sp macro="" textlink="">
      <xdr:nvSpPr>
        <xdr:cNvPr id="21" name="AutoShape 23" descr="+">
          <a:extLst>
            <a:ext uri="{FF2B5EF4-FFF2-40B4-BE49-F238E27FC236}">
              <a16:creationId xmlns:a16="http://schemas.microsoft.com/office/drawing/2014/main" id="{00000000-0008-0000-0A00-000015000000}"/>
            </a:ext>
          </a:extLst>
        </xdr:cNvPr>
        <xdr:cNvSpPr>
          <a:spLocks noChangeAspect="1" noChangeArrowheads="1"/>
        </xdr:cNvSpPr>
      </xdr:nvSpPr>
      <xdr:spPr bwMode="auto">
        <a:xfrm>
          <a:off x="0" y="20821650"/>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206121</xdr:rowOff>
    </xdr:to>
    <xdr:sp macro="" textlink="">
      <xdr:nvSpPr>
        <xdr:cNvPr id="22" name="AutoShape 24" descr="+">
          <a:extLst>
            <a:ext uri="{FF2B5EF4-FFF2-40B4-BE49-F238E27FC236}">
              <a16:creationId xmlns:a16="http://schemas.microsoft.com/office/drawing/2014/main" id="{00000000-0008-0000-0A00-000016000000}"/>
            </a:ext>
          </a:extLst>
        </xdr:cNvPr>
        <xdr:cNvSpPr>
          <a:spLocks noChangeAspect="1" noChangeArrowheads="1"/>
        </xdr:cNvSpPr>
      </xdr:nvSpPr>
      <xdr:spPr bwMode="auto">
        <a:xfrm>
          <a:off x="0" y="20821650"/>
          <a:ext cx="304800" cy="1985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208027</xdr:rowOff>
    </xdr:to>
    <xdr:sp macro="" textlink="">
      <xdr:nvSpPr>
        <xdr:cNvPr id="23" name="AutoShape 25" descr="+">
          <a:extLst>
            <a:ext uri="{FF2B5EF4-FFF2-40B4-BE49-F238E27FC236}">
              <a16:creationId xmlns:a16="http://schemas.microsoft.com/office/drawing/2014/main" id="{00000000-0008-0000-0A00-000017000000}"/>
            </a:ext>
          </a:extLst>
        </xdr:cNvPr>
        <xdr:cNvSpPr>
          <a:spLocks noChangeAspect="1" noChangeArrowheads="1"/>
        </xdr:cNvSpPr>
      </xdr:nvSpPr>
      <xdr:spPr bwMode="auto">
        <a:xfrm>
          <a:off x="0" y="20821650"/>
          <a:ext cx="304800" cy="208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208027</xdr:rowOff>
    </xdr:to>
    <xdr:sp macro="" textlink="">
      <xdr:nvSpPr>
        <xdr:cNvPr id="24" name="AutoShape 26" descr="+">
          <a:extLst>
            <a:ext uri="{FF2B5EF4-FFF2-40B4-BE49-F238E27FC236}">
              <a16:creationId xmlns:a16="http://schemas.microsoft.com/office/drawing/2014/main" id="{00000000-0008-0000-0A00-000018000000}"/>
            </a:ext>
          </a:extLst>
        </xdr:cNvPr>
        <xdr:cNvSpPr>
          <a:spLocks noChangeAspect="1" noChangeArrowheads="1"/>
        </xdr:cNvSpPr>
      </xdr:nvSpPr>
      <xdr:spPr bwMode="auto">
        <a:xfrm>
          <a:off x="0" y="20821650"/>
          <a:ext cx="304800" cy="208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169927</xdr:rowOff>
    </xdr:to>
    <xdr:sp macro="" textlink="">
      <xdr:nvSpPr>
        <xdr:cNvPr id="25" name="AutoShape 27" descr="+">
          <a:extLst>
            <a:ext uri="{FF2B5EF4-FFF2-40B4-BE49-F238E27FC236}">
              <a16:creationId xmlns:a16="http://schemas.microsoft.com/office/drawing/2014/main" id="{00000000-0008-0000-0A00-000019000000}"/>
            </a:ext>
          </a:extLst>
        </xdr:cNvPr>
        <xdr:cNvSpPr>
          <a:spLocks noChangeAspect="1" noChangeArrowheads="1"/>
        </xdr:cNvSpPr>
      </xdr:nvSpPr>
      <xdr:spPr bwMode="auto">
        <a:xfrm>
          <a:off x="0" y="20821650"/>
          <a:ext cx="304800" cy="1795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208024</xdr:rowOff>
    </xdr:to>
    <xdr:sp macro="" textlink="">
      <xdr:nvSpPr>
        <xdr:cNvPr id="26" name="AutoShape 28" descr="+">
          <a:extLst>
            <a:ext uri="{FF2B5EF4-FFF2-40B4-BE49-F238E27FC236}">
              <a16:creationId xmlns:a16="http://schemas.microsoft.com/office/drawing/2014/main" id="{00000000-0008-0000-0A00-00001A000000}"/>
            </a:ext>
          </a:extLst>
        </xdr:cNvPr>
        <xdr:cNvSpPr>
          <a:spLocks noChangeAspect="1" noChangeArrowheads="1"/>
        </xdr:cNvSpPr>
      </xdr:nvSpPr>
      <xdr:spPr bwMode="auto">
        <a:xfrm>
          <a:off x="0" y="20821650"/>
          <a:ext cx="304800" cy="208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209248</xdr:rowOff>
    </xdr:to>
    <xdr:sp macro="" textlink="">
      <xdr:nvSpPr>
        <xdr:cNvPr id="27" name="AutoShape 29" descr="+">
          <a:extLst>
            <a:ext uri="{FF2B5EF4-FFF2-40B4-BE49-F238E27FC236}">
              <a16:creationId xmlns:a16="http://schemas.microsoft.com/office/drawing/2014/main" id="{00000000-0008-0000-0A00-00001B000000}"/>
            </a:ext>
          </a:extLst>
        </xdr:cNvPr>
        <xdr:cNvSpPr>
          <a:spLocks noChangeAspect="1" noChangeArrowheads="1"/>
        </xdr:cNvSpPr>
      </xdr:nvSpPr>
      <xdr:spPr bwMode="auto">
        <a:xfrm>
          <a:off x="0" y="20821650"/>
          <a:ext cx="304800" cy="2017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28" name="AutoShape 30" descr="+">
          <a:extLst>
            <a:ext uri="{FF2B5EF4-FFF2-40B4-BE49-F238E27FC236}">
              <a16:creationId xmlns:a16="http://schemas.microsoft.com/office/drawing/2014/main" id="{00000000-0008-0000-0A00-00001C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29" name="AutoShape 31" descr="+">
          <a:extLst>
            <a:ext uri="{FF2B5EF4-FFF2-40B4-BE49-F238E27FC236}">
              <a16:creationId xmlns:a16="http://schemas.microsoft.com/office/drawing/2014/main" id="{00000000-0008-0000-0A00-00001D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30" name="AutoShape 32" descr="+">
          <a:extLst>
            <a:ext uri="{FF2B5EF4-FFF2-40B4-BE49-F238E27FC236}">
              <a16:creationId xmlns:a16="http://schemas.microsoft.com/office/drawing/2014/main" id="{00000000-0008-0000-0A00-00001E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210625</xdr:rowOff>
    </xdr:to>
    <xdr:sp macro="" textlink="">
      <xdr:nvSpPr>
        <xdr:cNvPr id="31" name="AutoShape 33" descr="+">
          <a:extLst>
            <a:ext uri="{FF2B5EF4-FFF2-40B4-BE49-F238E27FC236}">
              <a16:creationId xmlns:a16="http://schemas.microsoft.com/office/drawing/2014/main" id="{00000000-0008-0000-0A00-00001F000000}"/>
            </a:ext>
          </a:extLst>
        </xdr:cNvPr>
        <xdr:cNvSpPr>
          <a:spLocks noChangeAspect="1" noChangeArrowheads="1"/>
        </xdr:cNvSpPr>
      </xdr:nvSpPr>
      <xdr:spPr bwMode="auto">
        <a:xfrm>
          <a:off x="0" y="20821650"/>
          <a:ext cx="304800" cy="203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210430</xdr:rowOff>
    </xdr:to>
    <xdr:sp macro="" textlink="">
      <xdr:nvSpPr>
        <xdr:cNvPr id="32" name="AutoShape 34" descr="+">
          <a:extLst>
            <a:ext uri="{FF2B5EF4-FFF2-40B4-BE49-F238E27FC236}">
              <a16:creationId xmlns:a16="http://schemas.microsoft.com/office/drawing/2014/main" id="{00000000-0008-0000-0A00-000020000000}"/>
            </a:ext>
          </a:extLst>
        </xdr:cNvPr>
        <xdr:cNvSpPr>
          <a:spLocks noChangeAspect="1" noChangeArrowheads="1"/>
        </xdr:cNvSpPr>
      </xdr:nvSpPr>
      <xdr:spPr bwMode="auto">
        <a:xfrm>
          <a:off x="0" y="2082165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33" name="AutoShape 52" descr="+">
          <a:extLst>
            <a:ext uri="{FF2B5EF4-FFF2-40B4-BE49-F238E27FC236}">
              <a16:creationId xmlns:a16="http://schemas.microsoft.com/office/drawing/2014/main" id="{00000000-0008-0000-0A00-000021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34" name="AutoShape 53" descr="+">
          <a:extLst>
            <a:ext uri="{FF2B5EF4-FFF2-40B4-BE49-F238E27FC236}">
              <a16:creationId xmlns:a16="http://schemas.microsoft.com/office/drawing/2014/main" id="{00000000-0008-0000-0A00-000022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190425</xdr:rowOff>
    </xdr:to>
    <xdr:sp macro="" textlink="">
      <xdr:nvSpPr>
        <xdr:cNvPr id="35" name="AutoShape 54" descr="+">
          <a:extLst>
            <a:ext uri="{FF2B5EF4-FFF2-40B4-BE49-F238E27FC236}">
              <a16:creationId xmlns:a16="http://schemas.microsoft.com/office/drawing/2014/main" id="{00000000-0008-0000-0A00-000023000000}"/>
            </a:ext>
          </a:extLst>
        </xdr:cNvPr>
        <xdr:cNvSpPr>
          <a:spLocks noChangeAspect="1" noChangeArrowheads="1"/>
        </xdr:cNvSpPr>
      </xdr:nvSpPr>
      <xdr:spPr bwMode="auto">
        <a:xfrm>
          <a:off x="0" y="20821650"/>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36" name="AutoShape 55" descr="+">
          <a:extLst>
            <a:ext uri="{FF2B5EF4-FFF2-40B4-BE49-F238E27FC236}">
              <a16:creationId xmlns:a16="http://schemas.microsoft.com/office/drawing/2014/main" id="{00000000-0008-0000-0A00-000024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37" name="AutoShape 56" descr="+">
          <a:extLst>
            <a:ext uri="{FF2B5EF4-FFF2-40B4-BE49-F238E27FC236}">
              <a16:creationId xmlns:a16="http://schemas.microsoft.com/office/drawing/2014/main" id="{00000000-0008-0000-0A00-000025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210426</xdr:rowOff>
    </xdr:to>
    <xdr:sp macro="" textlink="">
      <xdr:nvSpPr>
        <xdr:cNvPr id="38" name="AutoShape 57" descr="+">
          <a:extLst>
            <a:ext uri="{FF2B5EF4-FFF2-40B4-BE49-F238E27FC236}">
              <a16:creationId xmlns:a16="http://schemas.microsoft.com/office/drawing/2014/main" id="{00000000-0008-0000-0A00-000026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39" name="AutoShape 58" descr="+">
          <a:extLst>
            <a:ext uri="{FF2B5EF4-FFF2-40B4-BE49-F238E27FC236}">
              <a16:creationId xmlns:a16="http://schemas.microsoft.com/office/drawing/2014/main" id="{00000000-0008-0000-0A00-000027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308528</xdr:rowOff>
    </xdr:to>
    <xdr:sp macro="" textlink="">
      <xdr:nvSpPr>
        <xdr:cNvPr id="40" name="AutoShape 59" descr="+">
          <a:extLst>
            <a:ext uri="{FF2B5EF4-FFF2-40B4-BE49-F238E27FC236}">
              <a16:creationId xmlns:a16="http://schemas.microsoft.com/office/drawing/2014/main" id="{00000000-0008-0000-0A00-000028000000}"/>
            </a:ext>
          </a:extLst>
        </xdr:cNvPr>
        <xdr:cNvSpPr>
          <a:spLocks noChangeAspect="1" noChangeArrowheads="1"/>
        </xdr:cNvSpPr>
      </xdr:nvSpPr>
      <xdr:spPr bwMode="auto">
        <a:xfrm>
          <a:off x="0" y="208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174234</xdr:rowOff>
    </xdr:to>
    <xdr:sp macro="" textlink="">
      <xdr:nvSpPr>
        <xdr:cNvPr id="41" name="AutoShape 60" descr="+">
          <a:extLst>
            <a:ext uri="{FF2B5EF4-FFF2-40B4-BE49-F238E27FC236}">
              <a16:creationId xmlns:a16="http://schemas.microsoft.com/office/drawing/2014/main" id="{00000000-0008-0000-0A00-000029000000}"/>
            </a:ext>
          </a:extLst>
        </xdr:cNvPr>
        <xdr:cNvSpPr>
          <a:spLocks noChangeAspect="1" noChangeArrowheads="1"/>
        </xdr:cNvSpPr>
      </xdr:nvSpPr>
      <xdr:spPr bwMode="auto">
        <a:xfrm>
          <a:off x="0" y="2082165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42" name="AutoShape 61" descr="+">
          <a:extLst>
            <a:ext uri="{FF2B5EF4-FFF2-40B4-BE49-F238E27FC236}">
              <a16:creationId xmlns:a16="http://schemas.microsoft.com/office/drawing/2014/main" id="{00000000-0008-0000-0A00-00002A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43" name="AutoShape 62" descr="+">
          <a:extLst>
            <a:ext uri="{FF2B5EF4-FFF2-40B4-BE49-F238E27FC236}">
              <a16:creationId xmlns:a16="http://schemas.microsoft.com/office/drawing/2014/main" id="{00000000-0008-0000-0A00-00002B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44" name="AutoShape 63" descr="+">
          <a:extLst>
            <a:ext uri="{FF2B5EF4-FFF2-40B4-BE49-F238E27FC236}">
              <a16:creationId xmlns:a16="http://schemas.microsoft.com/office/drawing/2014/main" id="{00000000-0008-0000-0A00-00002C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45" name="AutoShape 64" descr="+">
          <a:extLst>
            <a:ext uri="{FF2B5EF4-FFF2-40B4-BE49-F238E27FC236}">
              <a16:creationId xmlns:a16="http://schemas.microsoft.com/office/drawing/2014/main" id="{00000000-0008-0000-0A00-00002D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190423</xdr:rowOff>
    </xdr:to>
    <xdr:sp macro="" textlink="">
      <xdr:nvSpPr>
        <xdr:cNvPr id="46" name="AutoShape 65" descr="+">
          <a:extLst>
            <a:ext uri="{FF2B5EF4-FFF2-40B4-BE49-F238E27FC236}">
              <a16:creationId xmlns:a16="http://schemas.microsoft.com/office/drawing/2014/main" id="{00000000-0008-0000-0A00-00002E000000}"/>
            </a:ext>
          </a:extLst>
        </xdr:cNvPr>
        <xdr:cNvSpPr>
          <a:spLocks noChangeAspect="1" noChangeArrowheads="1"/>
        </xdr:cNvSpPr>
      </xdr:nvSpPr>
      <xdr:spPr bwMode="auto">
        <a:xfrm>
          <a:off x="0" y="20821650"/>
          <a:ext cx="304800" cy="1866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47" name="AutoShape 66" descr="+">
          <a:extLst>
            <a:ext uri="{FF2B5EF4-FFF2-40B4-BE49-F238E27FC236}">
              <a16:creationId xmlns:a16="http://schemas.microsoft.com/office/drawing/2014/main" id="{00000000-0008-0000-0A00-00002F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211645</xdr:rowOff>
    </xdr:to>
    <xdr:sp macro="" textlink="">
      <xdr:nvSpPr>
        <xdr:cNvPr id="48" name="AutoShape 67" descr="+">
          <a:extLst>
            <a:ext uri="{FF2B5EF4-FFF2-40B4-BE49-F238E27FC236}">
              <a16:creationId xmlns:a16="http://schemas.microsoft.com/office/drawing/2014/main" id="{00000000-0008-0000-0A00-000030000000}"/>
            </a:ext>
          </a:extLst>
        </xdr:cNvPr>
        <xdr:cNvSpPr>
          <a:spLocks noChangeAspect="1" noChangeArrowheads="1"/>
        </xdr:cNvSpPr>
      </xdr:nvSpPr>
      <xdr:spPr bwMode="auto">
        <a:xfrm>
          <a:off x="0" y="2082165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211645</xdr:rowOff>
    </xdr:to>
    <xdr:sp macro="" textlink="">
      <xdr:nvSpPr>
        <xdr:cNvPr id="49" name="AutoShape 68" descr="+">
          <a:extLst>
            <a:ext uri="{FF2B5EF4-FFF2-40B4-BE49-F238E27FC236}">
              <a16:creationId xmlns:a16="http://schemas.microsoft.com/office/drawing/2014/main" id="{00000000-0008-0000-0A00-000031000000}"/>
            </a:ext>
          </a:extLst>
        </xdr:cNvPr>
        <xdr:cNvSpPr>
          <a:spLocks noChangeAspect="1" noChangeArrowheads="1"/>
        </xdr:cNvSpPr>
      </xdr:nvSpPr>
      <xdr:spPr bwMode="auto">
        <a:xfrm>
          <a:off x="0" y="2082165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50" name="AutoShape 69" descr="+">
          <a:extLst>
            <a:ext uri="{FF2B5EF4-FFF2-40B4-BE49-F238E27FC236}">
              <a16:creationId xmlns:a16="http://schemas.microsoft.com/office/drawing/2014/main" id="{00000000-0008-0000-0A00-000032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170694</xdr:rowOff>
    </xdr:to>
    <xdr:sp macro="" textlink="">
      <xdr:nvSpPr>
        <xdr:cNvPr id="51" name="AutoShape 70" descr="+">
          <a:extLst>
            <a:ext uri="{FF2B5EF4-FFF2-40B4-BE49-F238E27FC236}">
              <a16:creationId xmlns:a16="http://schemas.microsoft.com/office/drawing/2014/main" id="{00000000-0008-0000-0A00-000033000000}"/>
            </a:ext>
          </a:extLst>
        </xdr:cNvPr>
        <xdr:cNvSpPr>
          <a:spLocks noChangeAspect="1" noChangeArrowheads="1"/>
        </xdr:cNvSpPr>
      </xdr:nvSpPr>
      <xdr:spPr bwMode="auto">
        <a:xfrm>
          <a:off x="0" y="20821650"/>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171649</xdr:rowOff>
    </xdr:to>
    <xdr:sp macro="" textlink="">
      <xdr:nvSpPr>
        <xdr:cNvPr id="52" name="AutoShape 71" descr="+">
          <a:extLst>
            <a:ext uri="{FF2B5EF4-FFF2-40B4-BE49-F238E27FC236}">
              <a16:creationId xmlns:a16="http://schemas.microsoft.com/office/drawing/2014/main" id="{00000000-0008-0000-0A00-000034000000}"/>
            </a:ext>
          </a:extLst>
        </xdr:cNvPr>
        <xdr:cNvSpPr>
          <a:spLocks noChangeAspect="1" noChangeArrowheads="1"/>
        </xdr:cNvSpPr>
      </xdr:nvSpPr>
      <xdr:spPr bwMode="auto">
        <a:xfrm>
          <a:off x="0" y="2082165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210426</xdr:rowOff>
    </xdr:to>
    <xdr:sp macro="" textlink="">
      <xdr:nvSpPr>
        <xdr:cNvPr id="53" name="AutoShape 72" descr="+">
          <a:extLst>
            <a:ext uri="{FF2B5EF4-FFF2-40B4-BE49-F238E27FC236}">
              <a16:creationId xmlns:a16="http://schemas.microsoft.com/office/drawing/2014/main" id="{00000000-0008-0000-0A00-000035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54" name="AutoShape 73" descr="+">
          <a:extLst>
            <a:ext uri="{FF2B5EF4-FFF2-40B4-BE49-F238E27FC236}">
              <a16:creationId xmlns:a16="http://schemas.microsoft.com/office/drawing/2014/main" id="{00000000-0008-0000-0A00-000036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55" name="AutoShape 74" descr="+">
          <a:extLst>
            <a:ext uri="{FF2B5EF4-FFF2-40B4-BE49-F238E27FC236}">
              <a16:creationId xmlns:a16="http://schemas.microsoft.com/office/drawing/2014/main" id="{00000000-0008-0000-0A00-000037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56" name="AutoShape 75" descr="+">
          <a:extLst>
            <a:ext uri="{FF2B5EF4-FFF2-40B4-BE49-F238E27FC236}">
              <a16:creationId xmlns:a16="http://schemas.microsoft.com/office/drawing/2014/main" id="{00000000-0008-0000-0A00-000038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210426</xdr:rowOff>
    </xdr:to>
    <xdr:sp macro="" textlink="">
      <xdr:nvSpPr>
        <xdr:cNvPr id="57" name="AutoShape 76" descr="+">
          <a:extLst>
            <a:ext uri="{FF2B5EF4-FFF2-40B4-BE49-F238E27FC236}">
              <a16:creationId xmlns:a16="http://schemas.microsoft.com/office/drawing/2014/main" id="{00000000-0008-0000-0A00-000039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58" name="AutoShape 77" descr="+">
          <a:extLst>
            <a:ext uri="{FF2B5EF4-FFF2-40B4-BE49-F238E27FC236}">
              <a16:creationId xmlns:a16="http://schemas.microsoft.com/office/drawing/2014/main" id="{00000000-0008-0000-0A00-00003A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210426</xdr:rowOff>
    </xdr:to>
    <xdr:sp macro="" textlink="">
      <xdr:nvSpPr>
        <xdr:cNvPr id="59" name="AutoShape 78" descr="+">
          <a:extLst>
            <a:ext uri="{FF2B5EF4-FFF2-40B4-BE49-F238E27FC236}">
              <a16:creationId xmlns:a16="http://schemas.microsoft.com/office/drawing/2014/main" id="{00000000-0008-0000-0A00-00003B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174226</xdr:rowOff>
    </xdr:to>
    <xdr:sp macro="" textlink="">
      <xdr:nvSpPr>
        <xdr:cNvPr id="60" name="AutoShape 79" descr="+">
          <a:extLst>
            <a:ext uri="{FF2B5EF4-FFF2-40B4-BE49-F238E27FC236}">
              <a16:creationId xmlns:a16="http://schemas.microsoft.com/office/drawing/2014/main" id="{00000000-0008-0000-0A00-00003C000000}"/>
            </a:ext>
          </a:extLst>
        </xdr:cNvPr>
        <xdr:cNvSpPr>
          <a:spLocks noChangeAspect="1" noChangeArrowheads="1"/>
        </xdr:cNvSpPr>
      </xdr:nvSpPr>
      <xdr:spPr bwMode="auto">
        <a:xfrm>
          <a:off x="0" y="2162175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174225</xdr:rowOff>
    </xdr:to>
    <xdr:sp macro="" textlink="">
      <xdr:nvSpPr>
        <xdr:cNvPr id="61" name="AutoShape 80" descr="+">
          <a:extLst>
            <a:ext uri="{FF2B5EF4-FFF2-40B4-BE49-F238E27FC236}">
              <a16:creationId xmlns:a16="http://schemas.microsoft.com/office/drawing/2014/main" id="{00000000-0008-0000-0A00-00003D000000}"/>
            </a:ext>
          </a:extLst>
        </xdr:cNvPr>
        <xdr:cNvSpPr>
          <a:spLocks noChangeAspect="1" noChangeArrowheads="1"/>
        </xdr:cNvSpPr>
      </xdr:nvSpPr>
      <xdr:spPr bwMode="auto">
        <a:xfrm>
          <a:off x="0" y="217169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173952</xdr:rowOff>
    </xdr:to>
    <xdr:sp macro="" textlink="">
      <xdr:nvSpPr>
        <xdr:cNvPr id="62" name="AutoShape 81" descr="+">
          <a:extLst>
            <a:ext uri="{FF2B5EF4-FFF2-40B4-BE49-F238E27FC236}">
              <a16:creationId xmlns:a16="http://schemas.microsoft.com/office/drawing/2014/main" id="{00000000-0008-0000-0A00-00003E000000}"/>
            </a:ext>
          </a:extLst>
        </xdr:cNvPr>
        <xdr:cNvSpPr>
          <a:spLocks noChangeAspect="1" noChangeArrowheads="1"/>
        </xdr:cNvSpPr>
      </xdr:nvSpPr>
      <xdr:spPr bwMode="auto">
        <a:xfrm>
          <a:off x="0" y="22002750"/>
          <a:ext cx="304800" cy="18165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174225</xdr:rowOff>
    </xdr:to>
    <xdr:sp macro="" textlink="">
      <xdr:nvSpPr>
        <xdr:cNvPr id="63" name="AutoShape 82" descr="+">
          <a:extLst>
            <a:ext uri="{FF2B5EF4-FFF2-40B4-BE49-F238E27FC236}">
              <a16:creationId xmlns:a16="http://schemas.microsoft.com/office/drawing/2014/main" id="{00000000-0008-0000-0A00-00003F000000}"/>
            </a:ext>
          </a:extLst>
        </xdr:cNvPr>
        <xdr:cNvSpPr>
          <a:spLocks noChangeAspect="1" noChangeArrowheads="1"/>
        </xdr:cNvSpPr>
      </xdr:nvSpPr>
      <xdr:spPr bwMode="auto">
        <a:xfrm>
          <a:off x="0" y="2219325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213008</xdr:rowOff>
    </xdr:to>
    <xdr:sp macro="" textlink="">
      <xdr:nvSpPr>
        <xdr:cNvPr id="64" name="AutoShape 83" descr="+">
          <a:extLst>
            <a:ext uri="{FF2B5EF4-FFF2-40B4-BE49-F238E27FC236}">
              <a16:creationId xmlns:a16="http://schemas.microsoft.com/office/drawing/2014/main" id="{00000000-0008-0000-0A00-000040000000}"/>
            </a:ext>
          </a:extLst>
        </xdr:cNvPr>
        <xdr:cNvSpPr>
          <a:spLocks noChangeAspect="1" noChangeArrowheads="1"/>
        </xdr:cNvSpPr>
      </xdr:nvSpPr>
      <xdr:spPr bwMode="auto">
        <a:xfrm>
          <a:off x="0" y="2238375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213006</xdr:rowOff>
    </xdr:to>
    <xdr:sp macro="" textlink="">
      <xdr:nvSpPr>
        <xdr:cNvPr id="65" name="AutoShape 84" descr="+">
          <a:extLst>
            <a:ext uri="{FF2B5EF4-FFF2-40B4-BE49-F238E27FC236}">
              <a16:creationId xmlns:a16="http://schemas.microsoft.com/office/drawing/2014/main" id="{00000000-0008-0000-0A00-000041000000}"/>
            </a:ext>
          </a:extLst>
        </xdr:cNvPr>
        <xdr:cNvSpPr>
          <a:spLocks noChangeAspect="1" noChangeArrowheads="1"/>
        </xdr:cNvSpPr>
      </xdr:nvSpPr>
      <xdr:spPr bwMode="auto">
        <a:xfrm>
          <a:off x="0" y="225742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213005</xdr:rowOff>
    </xdr:to>
    <xdr:sp macro="" textlink="">
      <xdr:nvSpPr>
        <xdr:cNvPr id="66" name="AutoShape 85" descr="+">
          <a:extLst>
            <a:ext uri="{FF2B5EF4-FFF2-40B4-BE49-F238E27FC236}">
              <a16:creationId xmlns:a16="http://schemas.microsoft.com/office/drawing/2014/main" id="{00000000-0008-0000-0A00-000042000000}"/>
            </a:ext>
          </a:extLst>
        </xdr:cNvPr>
        <xdr:cNvSpPr>
          <a:spLocks noChangeAspect="1" noChangeArrowheads="1"/>
        </xdr:cNvSpPr>
      </xdr:nvSpPr>
      <xdr:spPr bwMode="auto">
        <a:xfrm>
          <a:off x="0" y="22764750"/>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174225</xdr:rowOff>
    </xdr:to>
    <xdr:sp macro="" textlink="">
      <xdr:nvSpPr>
        <xdr:cNvPr id="67" name="AutoShape 86" descr="+">
          <a:extLst>
            <a:ext uri="{FF2B5EF4-FFF2-40B4-BE49-F238E27FC236}">
              <a16:creationId xmlns:a16="http://schemas.microsoft.com/office/drawing/2014/main" id="{00000000-0008-0000-0A00-000043000000}"/>
            </a:ext>
          </a:extLst>
        </xdr:cNvPr>
        <xdr:cNvSpPr>
          <a:spLocks noChangeAspect="1" noChangeArrowheads="1"/>
        </xdr:cNvSpPr>
      </xdr:nvSpPr>
      <xdr:spPr bwMode="auto">
        <a:xfrm>
          <a:off x="0" y="2295525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213006</xdr:rowOff>
    </xdr:to>
    <xdr:sp macro="" textlink="">
      <xdr:nvSpPr>
        <xdr:cNvPr id="68" name="AutoShape 87" descr="+">
          <a:extLst>
            <a:ext uri="{FF2B5EF4-FFF2-40B4-BE49-F238E27FC236}">
              <a16:creationId xmlns:a16="http://schemas.microsoft.com/office/drawing/2014/main" id="{00000000-0008-0000-0A00-000044000000}"/>
            </a:ext>
          </a:extLst>
        </xdr:cNvPr>
        <xdr:cNvSpPr>
          <a:spLocks noChangeAspect="1" noChangeArrowheads="1"/>
        </xdr:cNvSpPr>
      </xdr:nvSpPr>
      <xdr:spPr bwMode="auto">
        <a:xfrm>
          <a:off x="0" y="231457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213006</xdr:rowOff>
    </xdr:to>
    <xdr:sp macro="" textlink="">
      <xdr:nvSpPr>
        <xdr:cNvPr id="69" name="AutoShape 88" descr="+">
          <a:extLst>
            <a:ext uri="{FF2B5EF4-FFF2-40B4-BE49-F238E27FC236}">
              <a16:creationId xmlns:a16="http://schemas.microsoft.com/office/drawing/2014/main" id="{00000000-0008-0000-0A00-000045000000}"/>
            </a:ext>
          </a:extLst>
        </xdr:cNvPr>
        <xdr:cNvSpPr>
          <a:spLocks noChangeAspect="1" noChangeArrowheads="1"/>
        </xdr:cNvSpPr>
      </xdr:nvSpPr>
      <xdr:spPr bwMode="auto">
        <a:xfrm>
          <a:off x="0" y="233362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213007</xdr:rowOff>
    </xdr:to>
    <xdr:sp macro="" textlink="">
      <xdr:nvSpPr>
        <xdr:cNvPr id="70" name="AutoShape 89" descr="+">
          <a:extLst>
            <a:ext uri="{FF2B5EF4-FFF2-40B4-BE49-F238E27FC236}">
              <a16:creationId xmlns:a16="http://schemas.microsoft.com/office/drawing/2014/main" id="{00000000-0008-0000-0A00-000046000000}"/>
            </a:ext>
          </a:extLst>
        </xdr:cNvPr>
        <xdr:cNvSpPr>
          <a:spLocks noChangeAspect="1" noChangeArrowheads="1"/>
        </xdr:cNvSpPr>
      </xdr:nvSpPr>
      <xdr:spPr bwMode="auto">
        <a:xfrm>
          <a:off x="0" y="235267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213004</xdr:rowOff>
    </xdr:to>
    <xdr:sp macro="" textlink="">
      <xdr:nvSpPr>
        <xdr:cNvPr id="71" name="AutoShape 90" descr="+">
          <a:extLst>
            <a:ext uri="{FF2B5EF4-FFF2-40B4-BE49-F238E27FC236}">
              <a16:creationId xmlns:a16="http://schemas.microsoft.com/office/drawing/2014/main" id="{00000000-0008-0000-0A00-000047000000}"/>
            </a:ext>
          </a:extLst>
        </xdr:cNvPr>
        <xdr:cNvSpPr>
          <a:spLocks noChangeAspect="1" noChangeArrowheads="1"/>
        </xdr:cNvSpPr>
      </xdr:nvSpPr>
      <xdr:spPr bwMode="auto">
        <a:xfrm>
          <a:off x="0" y="23717250"/>
          <a:ext cx="304800" cy="20546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324106</xdr:rowOff>
    </xdr:to>
    <xdr:sp macro="" textlink="">
      <xdr:nvSpPr>
        <xdr:cNvPr id="72" name="AutoShape 91" descr="+">
          <a:extLst>
            <a:ext uri="{FF2B5EF4-FFF2-40B4-BE49-F238E27FC236}">
              <a16:creationId xmlns:a16="http://schemas.microsoft.com/office/drawing/2014/main" id="{00000000-0008-0000-0A00-000048000000}"/>
            </a:ext>
          </a:extLst>
        </xdr:cNvPr>
        <xdr:cNvSpPr>
          <a:spLocks noChangeAspect="1" noChangeArrowheads="1"/>
        </xdr:cNvSpPr>
      </xdr:nvSpPr>
      <xdr:spPr bwMode="auto">
        <a:xfrm>
          <a:off x="0" y="23907750"/>
          <a:ext cx="304800" cy="3070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171367</xdr:rowOff>
    </xdr:to>
    <xdr:sp macro="" textlink="">
      <xdr:nvSpPr>
        <xdr:cNvPr id="73" name="AutoShape 92" descr="+">
          <a:extLst>
            <a:ext uri="{FF2B5EF4-FFF2-40B4-BE49-F238E27FC236}">
              <a16:creationId xmlns:a16="http://schemas.microsoft.com/office/drawing/2014/main" id="{00000000-0008-0000-0A00-000049000000}"/>
            </a:ext>
          </a:extLst>
        </xdr:cNvPr>
        <xdr:cNvSpPr>
          <a:spLocks noChangeAspect="1" noChangeArrowheads="1"/>
        </xdr:cNvSpPr>
      </xdr:nvSpPr>
      <xdr:spPr bwMode="auto">
        <a:xfrm>
          <a:off x="0" y="24098250"/>
          <a:ext cx="304800" cy="1714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213007</xdr:rowOff>
    </xdr:to>
    <xdr:sp macro="" textlink="">
      <xdr:nvSpPr>
        <xdr:cNvPr id="74" name="AutoShape 93" descr="+">
          <a:extLst>
            <a:ext uri="{FF2B5EF4-FFF2-40B4-BE49-F238E27FC236}">
              <a16:creationId xmlns:a16="http://schemas.microsoft.com/office/drawing/2014/main" id="{00000000-0008-0000-0A00-00004A000000}"/>
            </a:ext>
          </a:extLst>
        </xdr:cNvPr>
        <xdr:cNvSpPr>
          <a:spLocks noChangeAspect="1" noChangeArrowheads="1"/>
        </xdr:cNvSpPr>
      </xdr:nvSpPr>
      <xdr:spPr bwMode="auto">
        <a:xfrm>
          <a:off x="0" y="242887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213007</xdr:rowOff>
    </xdr:to>
    <xdr:sp macro="" textlink="">
      <xdr:nvSpPr>
        <xdr:cNvPr id="75" name="AutoShape 94" descr="+">
          <a:extLst>
            <a:ext uri="{FF2B5EF4-FFF2-40B4-BE49-F238E27FC236}">
              <a16:creationId xmlns:a16="http://schemas.microsoft.com/office/drawing/2014/main" id="{00000000-0008-0000-0A00-00004B000000}"/>
            </a:ext>
          </a:extLst>
        </xdr:cNvPr>
        <xdr:cNvSpPr>
          <a:spLocks noChangeAspect="1" noChangeArrowheads="1"/>
        </xdr:cNvSpPr>
      </xdr:nvSpPr>
      <xdr:spPr bwMode="auto">
        <a:xfrm>
          <a:off x="0" y="244792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208245</xdr:rowOff>
    </xdr:to>
    <xdr:sp macro="" textlink="">
      <xdr:nvSpPr>
        <xdr:cNvPr id="76" name="AutoShape 95" descr="+">
          <a:extLst>
            <a:ext uri="{FF2B5EF4-FFF2-40B4-BE49-F238E27FC236}">
              <a16:creationId xmlns:a16="http://schemas.microsoft.com/office/drawing/2014/main" id="{00000000-0008-0000-0A00-00004C000000}"/>
            </a:ext>
          </a:extLst>
        </xdr:cNvPr>
        <xdr:cNvSpPr>
          <a:spLocks noChangeAspect="1" noChangeArrowheads="1"/>
        </xdr:cNvSpPr>
      </xdr:nvSpPr>
      <xdr:spPr bwMode="auto">
        <a:xfrm>
          <a:off x="0" y="24669750"/>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77" name="AutoShape 96" descr="+">
          <a:extLst>
            <a:ext uri="{FF2B5EF4-FFF2-40B4-BE49-F238E27FC236}">
              <a16:creationId xmlns:a16="http://schemas.microsoft.com/office/drawing/2014/main" id="{00000000-0008-0000-0A00-00004D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78" name="AutoShape 97" descr="+">
          <a:extLst>
            <a:ext uri="{FF2B5EF4-FFF2-40B4-BE49-F238E27FC236}">
              <a16:creationId xmlns:a16="http://schemas.microsoft.com/office/drawing/2014/main" id="{00000000-0008-0000-0A00-00004E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170694</xdr:rowOff>
    </xdr:to>
    <xdr:sp macro="" textlink="">
      <xdr:nvSpPr>
        <xdr:cNvPr id="79" name="AutoShape 98" descr="+">
          <a:extLst>
            <a:ext uri="{FF2B5EF4-FFF2-40B4-BE49-F238E27FC236}">
              <a16:creationId xmlns:a16="http://schemas.microsoft.com/office/drawing/2014/main" id="{00000000-0008-0000-0A00-00004F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210430</xdr:rowOff>
    </xdr:to>
    <xdr:sp macro="" textlink="">
      <xdr:nvSpPr>
        <xdr:cNvPr id="80" name="AutoShape 99" descr="+">
          <a:extLst>
            <a:ext uri="{FF2B5EF4-FFF2-40B4-BE49-F238E27FC236}">
              <a16:creationId xmlns:a16="http://schemas.microsoft.com/office/drawing/2014/main" id="{00000000-0008-0000-0A00-000050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174233</xdr:rowOff>
    </xdr:to>
    <xdr:sp macro="" textlink="">
      <xdr:nvSpPr>
        <xdr:cNvPr id="81" name="AutoShape 100" descr="+">
          <a:extLst>
            <a:ext uri="{FF2B5EF4-FFF2-40B4-BE49-F238E27FC236}">
              <a16:creationId xmlns:a16="http://schemas.microsoft.com/office/drawing/2014/main" id="{00000000-0008-0000-0A00-000051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82" name="AutoShape 101" descr="+">
          <a:extLst>
            <a:ext uri="{FF2B5EF4-FFF2-40B4-BE49-F238E27FC236}">
              <a16:creationId xmlns:a16="http://schemas.microsoft.com/office/drawing/2014/main" id="{00000000-0008-0000-0A00-00005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210426</xdr:rowOff>
    </xdr:to>
    <xdr:sp macro="" textlink="">
      <xdr:nvSpPr>
        <xdr:cNvPr id="83" name="AutoShape 102" descr="+">
          <a:extLst>
            <a:ext uri="{FF2B5EF4-FFF2-40B4-BE49-F238E27FC236}">
              <a16:creationId xmlns:a16="http://schemas.microsoft.com/office/drawing/2014/main" id="{00000000-0008-0000-0A00-000053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210430</xdr:rowOff>
    </xdr:to>
    <xdr:sp macro="" textlink="">
      <xdr:nvSpPr>
        <xdr:cNvPr id="84" name="AutoShape 103" descr="+">
          <a:extLst>
            <a:ext uri="{FF2B5EF4-FFF2-40B4-BE49-F238E27FC236}">
              <a16:creationId xmlns:a16="http://schemas.microsoft.com/office/drawing/2014/main" id="{00000000-0008-0000-0A00-000054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210426</xdr:rowOff>
    </xdr:to>
    <xdr:sp macro="" textlink="">
      <xdr:nvSpPr>
        <xdr:cNvPr id="85" name="AutoShape 104" descr="+">
          <a:extLst>
            <a:ext uri="{FF2B5EF4-FFF2-40B4-BE49-F238E27FC236}">
              <a16:creationId xmlns:a16="http://schemas.microsoft.com/office/drawing/2014/main" id="{00000000-0008-0000-0A00-000055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172050</xdr:rowOff>
    </xdr:to>
    <xdr:sp macro="" textlink="">
      <xdr:nvSpPr>
        <xdr:cNvPr id="86" name="AutoShape 105" descr="+">
          <a:extLst>
            <a:ext uri="{FF2B5EF4-FFF2-40B4-BE49-F238E27FC236}">
              <a16:creationId xmlns:a16="http://schemas.microsoft.com/office/drawing/2014/main" id="{00000000-0008-0000-0A00-000056000000}"/>
            </a:ext>
          </a:extLst>
        </xdr:cNvPr>
        <xdr:cNvSpPr>
          <a:spLocks noChangeAspect="1" noChangeArrowheads="1"/>
        </xdr:cNvSpPr>
      </xdr:nvSpPr>
      <xdr:spPr bwMode="auto">
        <a:xfrm>
          <a:off x="0" y="25155525"/>
          <a:ext cx="304800" cy="172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208242</xdr:rowOff>
    </xdr:to>
    <xdr:sp macro="" textlink="">
      <xdr:nvSpPr>
        <xdr:cNvPr id="87" name="AutoShape 106" descr="+">
          <a:extLst>
            <a:ext uri="{FF2B5EF4-FFF2-40B4-BE49-F238E27FC236}">
              <a16:creationId xmlns:a16="http://schemas.microsoft.com/office/drawing/2014/main" id="{00000000-0008-0000-0A00-000057000000}"/>
            </a:ext>
          </a:extLst>
        </xdr:cNvPr>
        <xdr:cNvSpPr>
          <a:spLocks noChangeAspect="1" noChangeArrowheads="1"/>
        </xdr:cNvSpPr>
      </xdr:nvSpPr>
      <xdr:spPr bwMode="auto">
        <a:xfrm>
          <a:off x="0" y="25155525"/>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211647</xdr:rowOff>
    </xdr:to>
    <xdr:sp macro="" textlink="">
      <xdr:nvSpPr>
        <xdr:cNvPr id="88" name="AutoShape 107" descr="+">
          <a:extLst>
            <a:ext uri="{FF2B5EF4-FFF2-40B4-BE49-F238E27FC236}">
              <a16:creationId xmlns:a16="http://schemas.microsoft.com/office/drawing/2014/main" id="{00000000-0008-0000-0A00-000058000000}"/>
            </a:ext>
          </a:extLst>
        </xdr:cNvPr>
        <xdr:cNvSpPr>
          <a:spLocks noChangeAspect="1" noChangeArrowheads="1"/>
        </xdr:cNvSpPr>
      </xdr:nvSpPr>
      <xdr:spPr bwMode="auto">
        <a:xfrm>
          <a:off x="0" y="2515552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89" name="AutoShape 108" descr="+">
          <a:extLst>
            <a:ext uri="{FF2B5EF4-FFF2-40B4-BE49-F238E27FC236}">
              <a16:creationId xmlns:a16="http://schemas.microsoft.com/office/drawing/2014/main" id="{00000000-0008-0000-0A00-000059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174235</xdr:rowOff>
    </xdr:to>
    <xdr:sp macro="" textlink="">
      <xdr:nvSpPr>
        <xdr:cNvPr id="90" name="AutoShape 109" descr="+">
          <a:extLst>
            <a:ext uri="{FF2B5EF4-FFF2-40B4-BE49-F238E27FC236}">
              <a16:creationId xmlns:a16="http://schemas.microsoft.com/office/drawing/2014/main" id="{00000000-0008-0000-0A00-00005A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91" name="AutoShape 110" descr="+">
          <a:extLst>
            <a:ext uri="{FF2B5EF4-FFF2-40B4-BE49-F238E27FC236}">
              <a16:creationId xmlns:a16="http://schemas.microsoft.com/office/drawing/2014/main" id="{00000000-0008-0000-0A00-00005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92" name="AutoShape 111" descr="+">
          <a:extLst>
            <a:ext uri="{FF2B5EF4-FFF2-40B4-BE49-F238E27FC236}">
              <a16:creationId xmlns:a16="http://schemas.microsoft.com/office/drawing/2014/main" id="{00000000-0008-0000-0A00-00005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93" name="AutoShape 112" descr="+">
          <a:extLst>
            <a:ext uri="{FF2B5EF4-FFF2-40B4-BE49-F238E27FC236}">
              <a16:creationId xmlns:a16="http://schemas.microsoft.com/office/drawing/2014/main" id="{00000000-0008-0000-0A00-00005D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206615</xdr:rowOff>
    </xdr:to>
    <xdr:sp macro="" textlink="">
      <xdr:nvSpPr>
        <xdr:cNvPr id="94" name="AutoShape 113" descr="+">
          <a:extLst>
            <a:ext uri="{FF2B5EF4-FFF2-40B4-BE49-F238E27FC236}">
              <a16:creationId xmlns:a16="http://schemas.microsoft.com/office/drawing/2014/main" id="{00000000-0008-0000-0A00-00005E000000}"/>
            </a:ext>
          </a:extLst>
        </xdr:cNvPr>
        <xdr:cNvSpPr>
          <a:spLocks noChangeAspect="1" noChangeArrowheads="1"/>
        </xdr:cNvSpPr>
      </xdr:nvSpPr>
      <xdr:spPr bwMode="auto">
        <a:xfrm>
          <a:off x="0" y="25155525"/>
          <a:ext cx="304800" cy="19145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95" name="AutoShape 114" descr="+">
          <a:extLst>
            <a:ext uri="{FF2B5EF4-FFF2-40B4-BE49-F238E27FC236}">
              <a16:creationId xmlns:a16="http://schemas.microsoft.com/office/drawing/2014/main" id="{00000000-0008-0000-0A00-00005F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96" name="AutoShape 115" descr="+">
          <a:extLst>
            <a:ext uri="{FF2B5EF4-FFF2-40B4-BE49-F238E27FC236}">
              <a16:creationId xmlns:a16="http://schemas.microsoft.com/office/drawing/2014/main" id="{00000000-0008-0000-0A00-00006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97" name="AutoShape 116" descr="+">
          <a:extLst>
            <a:ext uri="{FF2B5EF4-FFF2-40B4-BE49-F238E27FC236}">
              <a16:creationId xmlns:a16="http://schemas.microsoft.com/office/drawing/2014/main" id="{00000000-0008-0000-0A00-000061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98" name="AutoShape 117" descr="+">
          <a:extLst>
            <a:ext uri="{FF2B5EF4-FFF2-40B4-BE49-F238E27FC236}">
              <a16:creationId xmlns:a16="http://schemas.microsoft.com/office/drawing/2014/main" id="{00000000-0008-0000-0A00-00006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99" name="AutoShape 118" descr="+">
          <a:extLst>
            <a:ext uri="{FF2B5EF4-FFF2-40B4-BE49-F238E27FC236}">
              <a16:creationId xmlns:a16="http://schemas.microsoft.com/office/drawing/2014/main" id="{00000000-0008-0000-0A00-000063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210426</xdr:rowOff>
    </xdr:to>
    <xdr:sp macro="" textlink="">
      <xdr:nvSpPr>
        <xdr:cNvPr id="100" name="AutoShape 119" descr="+">
          <a:extLst>
            <a:ext uri="{FF2B5EF4-FFF2-40B4-BE49-F238E27FC236}">
              <a16:creationId xmlns:a16="http://schemas.microsoft.com/office/drawing/2014/main" id="{00000000-0008-0000-0A00-000064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101" name="AutoShape 120" descr="+">
          <a:extLst>
            <a:ext uri="{FF2B5EF4-FFF2-40B4-BE49-F238E27FC236}">
              <a16:creationId xmlns:a16="http://schemas.microsoft.com/office/drawing/2014/main" id="{00000000-0008-0000-0A00-000065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102" name="AutoShape 121" descr="+">
          <a:extLst>
            <a:ext uri="{FF2B5EF4-FFF2-40B4-BE49-F238E27FC236}">
              <a16:creationId xmlns:a16="http://schemas.microsoft.com/office/drawing/2014/main" id="{00000000-0008-0000-0A00-00006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174235</xdr:rowOff>
    </xdr:to>
    <xdr:sp macro="" textlink="">
      <xdr:nvSpPr>
        <xdr:cNvPr id="103" name="AutoShape 122" descr="+">
          <a:extLst>
            <a:ext uri="{FF2B5EF4-FFF2-40B4-BE49-F238E27FC236}">
              <a16:creationId xmlns:a16="http://schemas.microsoft.com/office/drawing/2014/main" id="{00000000-0008-0000-0A00-000067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170694</xdr:rowOff>
    </xdr:to>
    <xdr:sp macro="" textlink="">
      <xdr:nvSpPr>
        <xdr:cNvPr id="104" name="AutoShape 123" descr="+">
          <a:extLst>
            <a:ext uri="{FF2B5EF4-FFF2-40B4-BE49-F238E27FC236}">
              <a16:creationId xmlns:a16="http://schemas.microsoft.com/office/drawing/2014/main" id="{00000000-0008-0000-0A00-000068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105" name="AutoShape 124" descr="+">
          <a:extLst>
            <a:ext uri="{FF2B5EF4-FFF2-40B4-BE49-F238E27FC236}">
              <a16:creationId xmlns:a16="http://schemas.microsoft.com/office/drawing/2014/main" id="{00000000-0008-0000-0A00-000069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106" name="AutoShape 125" descr="+">
          <a:extLst>
            <a:ext uri="{FF2B5EF4-FFF2-40B4-BE49-F238E27FC236}">
              <a16:creationId xmlns:a16="http://schemas.microsoft.com/office/drawing/2014/main" id="{00000000-0008-0000-0A00-00006A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107" name="AutoShape 126" descr="+">
          <a:extLst>
            <a:ext uri="{FF2B5EF4-FFF2-40B4-BE49-F238E27FC236}">
              <a16:creationId xmlns:a16="http://schemas.microsoft.com/office/drawing/2014/main" id="{00000000-0008-0000-0A00-00006B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210625</xdr:rowOff>
    </xdr:to>
    <xdr:sp macro="" textlink="">
      <xdr:nvSpPr>
        <xdr:cNvPr id="108" name="AutoShape 127" descr="+">
          <a:extLst>
            <a:ext uri="{FF2B5EF4-FFF2-40B4-BE49-F238E27FC236}">
              <a16:creationId xmlns:a16="http://schemas.microsoft.com/office/drawing/2014/main" id="{00000000-0008-0000-0A00-00006C000000}"/>
            </a:ext>
          </a:extLst>
        </xdr:cNvPr>
        <xdr:cNvSpPr>
          <a:spLocks noChangeAspect="1" noChangeArrowheads="1"/>
        </xdr:cNvSpPr>
      </xdr:nvSpPr>
      <xdr:spPr bwMode="auto">
        <a:xfrm>
          <a:off x="0" y="25155525"/>
          <a:ext cx="304800" cy="203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210626</xdr:rowOff>
    </xdr:to>
    <xdr:sp macro="" textlink="">
      <xdr:nvSpPr>
        <xdr:cNvPr id="109" name="AutoShape 128" descr="+">
          <a:extLst>
            <a:ext uri="{FF2B5EF4-FFF2-40B4-BE49-F238E27FC236}">
              <a16:creationId xmlns:a16="http://schemas.microsoft.com/office/drawing/2014/main" id="{00000000-0008-0000-0A00-00006D000000}"/>
            </a:ext>
          </a:extLst>
        </xdr:cNvPr>
        <xdr:cNvSpPr>
          <a:spLocks noChangeAspect="1" noChangeArrowheads="1"/>
        </xdr:cNvSpPr>
      </xdr:nvSpPr>
      <xdr:spPr bwMode="auto">
        <a:xfrm>
          <a:off x="0" y="25155525"/>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210426</xdr:rowOff>
    </xdr:to>
    <xdr:sp macro="" textlink="">
      <xdr:nvSpPr>
        <xdr:cNvPr id="110" name="AutoShape 129" descr="+">
          <a:extLst>
            <a:ext uri="{FF2B5EF4-FFF2-40B4-BE49-F238E27FC236}">
              <a16:creationId xmlns:a16="http://schemas.microsoft.com/office/drawing/2014/main" id="{00000000-0008-0000-0A00-00006E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111" name="AutoShape 130" descr="+">
          <a:extLst>
            <a:ext uri="{FF2B5EF4-FFF2-40B4-BE49-F238E27FC236}">
              <a16:creationId xmlns:a16="http://schemas.microsoft.com/office/drawing/2014/main" id="{00000000-0008-0000-0A00-00006F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112" name="AutoShape 131" descr="+">
          <a:extLst>
            <a:ext uri="{FF2B5EF4-FFF2-40B4-BE49-F238E27FC236}">
              <a16:creationId xmlns:a16="http://schemas.microsoft.com/office/drawing/2014/main" id="{00000000-0008-0000-0A00-000070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113" name="AutoShape 132" descr="+">
          <a:extLst>
            <a:ext uri="{FF2B5EF4-FFF2-40B4-BE49-F238E27FC236}">
              <a16:creationId xmlns:a16="http://schemas.microsoft.com/office/drawing/2014/main" id="{00000000-0008-0000-0A00-00007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114" name="AutoShape 133" descr="+">
          <a:extLst>
            <a:ext uri="{FF2B5EF4-FFF2-40B4-BE49-F238E27FC236}">
              <a16:creationId xmlns:a16="http://schemas.microsoft.com/office/drawing/2014/main" id="{00000000-0008-0000-0A00-00007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115" name="AutoShape 134" descr="+">
          <a:extLst>
            <a:ext uri="{FF2B5EF4-FFF2-40B4-BE49-F238E27FC236}">
              <a16:creationId xmlns:a16="http://schemas.microsoft.com/office/drawing/2014/main" id="{00000000-0008-0000-0A00-00007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116" name="AutoShape 135" descr="+">
          <a:extLst>
            <a:ext uri="{FF2B5EF4-FFF2-40B4-BE49-F238E27FC236}">
              <a16:creationId xmlns:a16="http://schemas.microsoft.com/office/drawing/2014/main" id="{00000000-0008-0000-0A00-000074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117" name="AutoShape 136" descr="+">
          <a:extLst>
            <a:ext uri="{FF2B5EF4-FFF2-40B4-BE49-F238E27FC236}">
              <a16:creationId xmlns:a16="http://schemas.microsoft.com/office/drawing/2014/main" id="{00000000-0008-0000-0A00-000075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118" name="AutoShape 137" descr="+">
          <a:extLst>
            <a:ext uri="{FF2B5EF4-FFF2-40B4-BE49-F238E27FC236}">
              <a16:creationId xmlns:a16="http://schemas.microsoft.com/office/drawing/2014/main" id="{00000000-0008-0000-0A00-000076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119" name="AutoShape 138" descr="+">
          <a:extLst>
            <a:ext uri="{FF2B5EF4-FFF2-40B4-BE49-F238E27FC236}">
              <a16:creationId xmlns:a16="http://schemas.microsoft.com/office/drawing/2014/main" id="{00000000-0008-0000-0A00-000077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210426</xdr:rowOff>
    </xdr:to>
    <xdr:sp macro="" textlink="">
      <xdr:nvSpPr>
        <xdr:cNvPr id="120" name="AutoShape 139" descr="+">
          <a:extLst>
            <a:ext uri="{FF2B5EF4-FFF2-40B4-BE49-F238E27FC236}">
              <a16:creationId xmlns:a16="http://schemas.microsoft.com/office/drawing/2014/main" id="{00000000-0008-0000-0A00-000078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171649</xdr:rowOff>
    </xdr:to>
    <xdr:sp macro="" textlink="">
      <xdr:nvSpPr>
        <xdr:cNvPr id="121" name="AutoShape 140" descr="+">
          <a:extLst>
            <a:ext uri="{FF2B5EF4-FFF2-40B4-BE49-F238E27FC236}">
              <a16:creationId xmlns:a16="http://schemas.microsoft.com/office/drawing/2014/main" id="{00000000-0008-0000-0A00-000079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122" name="AutoShape 141" descr="+">
          <a:extLst>
            <a:ext uri="{FF2B5EF4-FFF2-40B4-BE49-F238E27FC236}">
              <a16:creationId xmlns:a16="http://schemas.microsoft.com/office/drawing/2014/main" id="{00000000-0008-0000-0A00-00007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123" name="AutoShape 142" descr="+">
          <a:extLst>
            <a:ext uri="{FF2B5EF4-FFF2-40B4-BE49-F238E27FC236}">
              <a16:creationId xmlns:a16="http://schemas.microsoft.com/office/drawing/2014/main" id="{00000000-0008-0000-0A00-00007B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327166</xdr:rowOff>
    </xdr:to>
    <xdr:sp macro="" textlink="">
      <xdr:nvSpPr>
        <xdr:cNvPr id="124" name="AutoShape 143" descr="+">
          <a:extLst>
            <a:ext uri="{FF2B5EF4-FFF2-40B4-BE49-F238E27FC236}">
              <a16:creationId xmlns:a16="http://schemas.microsoft.com/office/drawing/2014/main" id="{00000000-0008-0000-0A00-00007C000000}"/>
            </a:ext>
          </a:extLst>
        </xdr:cNvPr>
        <xdr:cNvSpPr>
          <a:spLocks noChangeAspect="1" noChangeArrowheads="1"/>
        </xdr:cNvSpPr>
      </xdr:nvSpPr>
      <xdr:spPr bwMode="auto">
        <a:xfrm>
          <a:off x="0" y="25155525"/>
          <a:ext cx="304800" cy="3273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125" name="AutoShape 144" descr="+">
          <a:extLst>
            <a:ext uri="{FF2B5EF4-FFF2-40B4-BE49-F238E27FC236}">
              <a16:creationId xmlns:a16="http://schemas.microsoft.com/office/drawing/2014/main" id="{00000000-0008-0000-0A00-00007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126" name="AutoShape 145" descr="+">
          <a:extLst>
            <a:ext uri="{FF2B5EF4-FFF2-40B4-BE49-F238E27FC236}">
              <a16:creationId xmlns:a16="http://schemas.microsoft.com/office/drawing/2014/main" id="{00000000-0008-0000-0A00-00007E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127" name="AutoShape 146" descr="+">
          <a:extLst>
            <a:ext uri="{FF2B5EF4-FFF2-40B4-BE49-F238E27FC236}">
              <a16:creationId xmlns:a16="http://schemas.microsoft.com/office/drawing/2014/main" id="{00000000-0008-0000-0A00-00007F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128" name="AutoShape 147" descr="+">
          <a:extLst>
            <a:ext uri="{FF2B5EF4-FFF2-40B4-BE49-F238E27FC236}">
              <a16:creationId xmlns:a16="http://schemas.microsoft.com/office/drawing/2014/main" id="{00000000-0008-0000-0A00-000080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174233</xdr:rowOff>
    </xdr:to>
    <xdr:sp macro="" textlink="">
      <xdr:nvSpPr>
        <xdr:cNvPr id="129" name="AutoShape 148" descr="+">
          <a:extLst>
            <a:ext uri="{FF2B5EF4-FFF2-40B4-BE49-F238E27FC236}">
              <a16:creationId xmlns:a16="http://schemas.microsoft.com/office/drawing/2014/main" id="{00000000-0008-0000-0A00-000081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206617</xdr:rowOff>
    </xdr:to>
    <xdr:sp macro="" textlink="">
      <xdr:nvSpPr>
        <xdr:cNvPr id="130" name="AutoShape 149" descr="+">
          <a:extLst>
            <a:ext uri="{FF2B5EF4-FFF2-40B4-BE49-F238E27FC236}">
              <a16:creationId xmlns:a16="http://schemas.microsoft.com/office/drawing/2014/main" id="{00000000-0008-0000-0A00-000082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131" name="AutoShape 150" descr="+">
          <a:extLst>
            <a:ext uri="{FF2B5EF4-FFF2-40B4-BE49-F238E27FC236}">
              <a16:creationId xmlns:a16="http://schemas.microsoft.com/office/drawing/2014/main" id="{00000000-0008-0000-0A00-00008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132" name="AutoShape 151" descr="+">
          <a:extLst>
            <a:ext uri="{FF2B5EF4-FFF2-40B4-BE49-F238E27FC236}">
              <a16:creationId xmlns:a16="http://schemas.microsoft.com/office/drawing/2014/main" id="{00000000-0008-0000-0A00-00008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133" name="AutoShape 152" descr="+">
          <a:extLst>
            <a:ext uri="{FF2B5EF4-FFF2-40B4-BE49-F238E27FC236}">
              <a16:creationId xmlns:a16="http://schemas.microsoft.com/office/drawing/2014/main" id="{00000000-0008-0000-0A00-000085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308523</xdr:rowOff>
    </xdr:to>
    <xdr:sp macro="" textlink="">
      <xdr:nvSpPr>
        <xdr:cNvPr id="134" name="AutoShape 153" descr="+">
          <a:extLst>
            <a:ext uri="{FF2B5EF4-FFF2-40B4-BE49-F238E27FC236}">
              <a16:creationId xmlns:a16="http://schemas.microsoft.com/office/drawing/2014/main" id="{00000000-0008-0000-0A00-000086000000}"/>
            </a:ext>
          </a:extLst>
        </xdr:cNvPr>
        <xdr:cNvSpPr>
          <a:spLocks noChangeAspect="1" noChangeArrowheads="1"/>
        </xdr:cNvSpPr>
      </xdr:nvSpPr>
      <xdr:spPr bwMode="auto">
        <a:xfrm>
          <a:off x="0" y="25155525"/>
          <a:ext cx="304800" cy="3047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172327</xdr:rowOff>
    </xdr:to>
    <xdr:sp macro="" textlink="">
      <xdr:nvSpPr>
        <xdr:cNvPr id="135" name="AutoShape 154" descr="+">
          <a:extLst>
            <a:ext uri="{FF2B5EF4-FFF2-40B4-BE49-F238E27FC236}">
              <a16:creationId xmlns:a16="http://schemas.microsoft.com/office/drawing/2014/main" id="{00000000-0008-0000-0A00-000087000000}"/>
            </a:ext>
          </a:extLst>
        </xdr:cNvPr>
        <xdr:cNvSpPr>
          <a:spLocks noChangeAspect="1" noChangeArrowheads="1"/>
        </xdr:cNvSpPr>
      </xdr:nvSpPr>
      <xdr:spPr bwMode="auto">
        <a:xfrm>
          <a:off x="0" y="25155525"/>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136" name="AutoShape 155" descr="+">
          <a:extLst>
            <a:ext uri="{FF2B5EF4-FFF2-40B4-BE49-F238E27FC236}">
              <a16:creationId xmlns:a16="http://schemas.microsoft.com/office/drawing/2014/main" id="{00000000-0008-0000-0A00-000088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211647</xdr:rowOff>
    </xdr:to>
    <xdr:sp macro="" textlink="">
      <xdr:nvSpPr>
        <xdr:cNvPr id="137" name="AutoShape 156" descr="+">
          <a:extLst>
            <a:ext uri="{FF2B5EF4-FFF2-40B4-BE49-F238E27FC236}">
              <a16:creationId xmlns:a16="http://schemas.microsoft.com/office/drawing/2014/main" id="{00000000-0008-0000-0A00-000089000000}"/>
            </a:ext>
          </a:extLst>
        </xdr:cNvPr>
        <xdr:cNvSpPr>
          <a:spLocks noChangeAspect="1" noChangeArrowheads="1"/>
        </xdr:cNvSpPr>
      </xdr:nvSpPr>
      <xdr:spPr bwMode="auto">
        <a:xfrm>
          <a:off x="0" y="2515552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211649</xdr:rowOff>
    </xdr:to>
    <xdr:sp macro="" textlink="">
      <xdr:nvSpPr>
        <xdr:cNvPr id="138" name="AutoShape 157" descr="+">
          <a:extLst>
            <a:ext uri="{FF2B5EF4-FFF2-40B4-BE49-F238E27FC236}">
              <a16:creationId xmlns:a16="http://schemas.microsoft.com/office/drawing/2014/main" id="{00000000-0008-0000-0A00-00008A000000}"/>
            </a:ext>
          </a:extLst>
        </xdr:cNvPr>
        <xdr:cNvSpPr>
          <a:spLocks noChangeAspect="1" noChangeArrowheads="1"/>
        </xdr:cNvSpPr>
      </xdr:nvSpPr>
      <xdr:spPr bwMode="auto">
        <a:xfrm>
          <a:off x="0" y="25155525"/>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139" name="AutoShape 158" descr="+">
          <a:extLst>
            <a:ext uri="{FF2B5EF4-FFF2-40B4-BE49-F238E27FC236}">
              <a16:creationId xmlns:a16="http://schemas.microsoft.com/office/drawing/2014/main" id="{00000000-0008-0000-0A00-00008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140" name="AutoShape 159" descr="+">
          <a:extLst>
            <a:ext uri="{FF2B5EF4-FFF2-40B4-BE49-F238E27FC236}">
              <a16:creationId xmlns:a16="http://schemas.microsoft.com/office/drawing/2014/main" id="{00000000-0008-0000-0A00-00008C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190423</xdr:rowOff>
    </xdr:to>
    <xdr:sp macro="" textlink="">
      <xdr:nvSpPr>
        <xdr:cNvPr id="141" name="AutoShape 160" descr="+">
          <a:extLst>
            <a:ext uri="{FF2B5EF4-FFF2-40B4-BE49-F238E27FC236}">
              <a16:creationId xmlns:a16="http://schemas.microsoft.com/office/drawing/2014/main" id="{00000000-0008-0000-0A00-00008D000000}"/>
            </a:ext>
          </a:extLst>
        </xdr:cNvPr>
        <xdr:cNvSpPr>
          <a:spLocks noChangeAspect="1" noChangeArrowheads="1"/>
        </xdr:cNvSpPr>
      </xdr:nvSpPr>
      <xdr:spPr bwMode="auto">
        <a:xfrm>
          <a:off x="0" y="25155525"/>
          <a:ext cx="304800" cy="1866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171649</xdr:rowOff>
    </xdr:to>
    <xdr:sp macro="" textlink="">
      <xdr:nvSpPr>
        <xdr:cNvPr id="142" name="AutoShape 161" descr="+">
          <a:extLst>
            <a:ext uri="{FF2B5EF4-FFF2-40B4-BE49-F238E27FC236}">
              <a16:creationId xmlns:a16="http://schemas.microsoft.com/office/drawing/2014/main" id="{00000000-0008-0000-0A00-00008E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143" name="AutoShape 162" descr="+">
          <a:extLst>
            <a:ext uri="{FF2B5EF4-FFF2-40B4-BE49-F238E27FC236}">
              <a16:creationId xmlns:a16="http://schemas.microsoft.com/office/drawing/2014/main" id="{00000000-0008-0000-0A00-00008F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144" name="AutoShape 163" descr="+">
          <a:extLst>
            <a:ext uri="{FF2B5EF4-FFF2-40B4-BE49-F238E27FC236}">
              <a16:creationId xmlns:a16="http://schemas.microsoft.com/office/drawing/2014/main" id="{00000000-0008-0000-0A00-00009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206617</xdr:rowOff>
    </xdr:to>
    <xdr:sp macro="" textlink="">
      <xdr:nvSpPr>
        <xdr:cNvPr id="145" name="AutoShape 164" descr="+">
          <a:extLst>
            <a:ext uri="{FF2B5EF4-FFF2-40B4-BE49-F238E27FC236}">
              <a16:creationId xmlns:a16="http://schemas.microsoft.com/office/drawing/2014/main" id="{00000000-0008-0000-0A00-000091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146" name="AutoShape 165" descr="+">
          <a:extLst>
            <a:ext uri="{FF2B5EF4-FFF2-40B4-BE49-F238E27FC236}">
              <a16:creationId xmlns:a16="http://schemas.microsoft.com/office/drawing/2014/main" id="{00000000-0008-0000-0A00-00009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147" name="AutoShape 166" descr="+">
          <a:extLst>
            <a:ext uri="{FF2B5EF4-FFF2-40B4-BE49-F238E27FC236}">
              <a16:creationId xmlns:a16="http://schemas.microsoft.com/office/drawing/2014/main" id="{00000000-0008-0000-0A00-00009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210430</xdr:rowOff>
    </xdr:to>
    <xdr:sp macro="" textlink="">
      <xdr:nvSpPr>
        <xdr:cNvPr id="148" name="AutoShape 167" descr="+">
          <a:extLst>
            <a:ext uri="{FF2B5EF4-FFF2-40B4-BE49-F238E27FC236}">
              <a16:creationId xmlns:a16="http://schemas.microsoft.com/office/drawing/2014/main" id="{00000000-0008-0000-0A00-000094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320232</xdr:rowOff>
    </xdr:to>
    <xdr:sp macro="" textlink="">
      <xdr:nvSpPr>
        <xdr:cNvPr id="149" name="AutoShape 168" descr="+">
          <a:extLst>
            <a:ext uri="{FF2B5EF4-FFF2-40B4-BE49-F238E27FC236}">
              <a16:creationId xmlns:a16="http://schemas.microsoft.com/office/drawing/2014/main" id="{00000000-0008-0000-0A00-000095000000}"/>
            </a:ext>
          </a:extLst>
        </xdr:cNvPr>
        <xdr:cNvSpPr>
          <a:spLocks noChangeAspect="1" noChangeArrowheads="1"/>
        </xdr:cNvSpPr>
      </xdr:nvSpPr>
      <xdr:spPr bwMode="auto">
        <a:xfrm>
          <a:off x="0" y="25155525"/>
          <a:ext cx="304800" cy="3088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169735</xdr:rowOff>
    </xdr:to>
    <xdr:sp macro="" textlink="">
      <xdr:nvSpPr>
        <xdr:cNvPr id="150" name="AutoShape 169" descr="+">
          <a:extLst>
            <a:ext uri="{FF2B5EF4-FFF2-40B4-BE49-F238E27FC236}">
              <a16:creationId xmlns:a16="http://schemas.microsoft.com/office/drawing/2014/main" id="{00000000-0008-0000-0A00-000096000000}"/>
            </a:ext>
          </a:extLst>
        </xdr:cNvPr>
        <xdr:cNvSpPr>
          <a:spLocks noChangeAspect="1" noChangeArrowheads="1"/>
        </xdr:cNvSpPr>
      </xdr:nvSpPr>
      <xdr:spPr bwMode="auto">
        <a:xfrm>
          <a:off x="0" y="25155525"/>
          <a:ext cx="304800" cy="1755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211643</xdr:rowOff>
    </xdr:to>
    <xdr:sp macro="" textlink="">
      <xdr:nvSpPr>
        <xdr:cNvPr id="151" name="AutoShape 170" descr="+">
          <a:extLst>
            <a:ext uri="{FF2B5EF4-FFF2-40B4-BE49-F238E27FC236}">
              <a16:creationId xmlns:a16="http://schemas.microsoft.com/office/drawing/2014/main" id="{00000000-0008-0000-0A00-000097000000}"/>
            </a:ext>
          </a:extLst>
        </xdr:cNvPr>
        <xdr:cNvSpPr>
          <a:spLocks noChangeAspect="1" noChangeArrowheads="1"/>
        </xdr:cNvSpPr>
      </xdr:nvSpPr>
      <xdr:spPr bwMode="auto">
        <a:xfrm>
          <a:off x="0" y="25155525"/>
          <a:ext cx="304800" cy="204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320230</xdr:rowOff>
    </xdr:to>
    <xdr:sp macro="" textlink="">
      <xdr:nvSpPr>
        <xdr:cNvPr id="152" name="AutoShape 171" descr="+">
          <a:extLst>
            <a:ext uri="{FF2B5EF4-FFF2-40B4-BE49-F238E27FC236}">
              <a16:creationId xmlns:a16="http://schemas.microsoft.com/office/drawing/2014/main" id="{00000000-0008-0000-0A00-000098000000}"/>
            </a:ext>
          </a:extLst>
        </xdr:cNvPr>
        <xdr:cNvSpPr>
          <a:spLocks noChangeAspect="1" noChangeArrowheads="1"/>
        </xdr:cNvSpPr>
      </xdr:nvSpPr>
      <xdr:spPr bwMode="auto">
        <a:xfrm>
          <a:off x="0" y="251555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211645</xdr:rowOff>
    </xdr:to>
    <xdr:sp macro="" textlink="">
      <xdr:nvSpPr>
        <xdr:cNvPr id="153" name="AutoShape 172" descr="+">
          <a:extLst>
            <a:ext uri="{FF2B5EF4-FFF2-40B4-BE49-F238E27FC236}">
              <a16:creationId xmlns:a16="http://schemas.microsoft.com/office/drawing/2014/main" id="{00000000-0008-0000-0A00-000099000000}"/>
            </a:ext>
          </a:extLst>
        </xdr:cNvPr>
        <xdr:cNvSpPr>
          <a:spLocks noChangeAspect="1" noChangeArrowheads="1"/>
        </xdr:cNvSpPr>
      </xdr:nvSpPr>
      <xdr:spPr bwMode="auto">
        <a:xfrm>
          <a:off x="0" y="2515552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154" name="AutoShape 173" descr="+">
          <a:extLst>
            <a:ext uri="{FF2B5EF4-FFF2-40B4-BE49-F238E27FC236}">
              <a16:creationId xmlns:a16="http://schemas.microsoft.com/office/drawing/2014/main" id="{00000000-0008-0000-0A00-00009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173048</xdr:rowOff>
    </xdr:to>
    <xdr:sp macro="" textlink="">
      <xdr:nvSpPr>
        <xdr:cNvPr id="155" name="AutoShape 174" descr="+">
          <a:extLst>
            <a:ext uri="{FF2B5EF4-FFF2-40B4-BE49-F238E27FC236}">
              <a16:creationId xmlns:a16="http://schemas.microsoft.com/office/drawing/2014/main" id="{00000000-0008-0000-0A00-00009B000000}"/>
            </a:ext>
          </a:extLst>
        </xdr:cNvPr>
        <xdr:cNvSpPr>
          <a:spLocks noChangeAspect="1" noChangeArrowheads="1"/>
        </xdr:cNvSpPr>
      </xdr:nvSpPr>
      <xdr:spPr bwMode="auto">
        <a:xfrm>
          <a:off x="0" y="25155525"/>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156" name="AutoShape 175" descr="+">
          <a:extLst>
            <a:ext uri="{FF2B5EF4-FFF2-40B4-BE49-F238E27FC236}">
              <a16:creationId xmlns:a16="http://schemas.microsoft.com/office/drawing/2014/main" id="{00000000-0008-0000-0A00-00009C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210426</xdr:rowOff>
    </xdr:to>
    <xdr:sp macro="" textlink="">
      <xdr:nvSpPr>
        <xdr:cNvPr id="157" name="AutoShape 176" descr="+">
          <a:extLst>
            <a:ext uri="{FF2B5EF4-FFF2-40B4-BE49-F238E27FC236}">
              <a16:creationId xmlns:a16="http://schemas.microsoft.com/office/drawing/2014/main" id="{00000000-0008-0000-0A00-00009D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158" name="AutoShape 177" descr="+">
          <a:extLst>
            <a:ext uri="{FF2B5EF4-FFF2-40B4-BE49-F238E27FC236}">
              <a16:creationId xmlns:a16="http://schemas.microsoft.com/office/drawing/2014/main" id="{00000000-0008-0000-0A00-00009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159" name="AutoShape 178" descr="+">
          <a:extLst>
            <a:ext uri="{FF2B5EF4-FFF2-40B4-BE49-F238E27FC236}">
              <a16:creationId xmlns:a16="http://schemas.microsoft.com/office/drawing/2014/main" id="{00000000-0008-0000-0A00-00009F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160" name="AutoShape 179" descr="+">
          <a:extLst>
            <a:ext uri="{FF2B5EF4-FFF2-40B4-BE49-F238E27FC236}">
              <a16:creationId xmlns:a16="http://schemas.microsoft.com/office/drawing/2014/main" id="{00000000-0008-0000-0A00-0000A0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206619</xdr:rowOff>
    </xdr:to>
    <xdr:sp macro="" textlink="">
      <xdr:nvSpPr>
        <xdr:cNvPr id="161" name="AutoShape 180" descr="+">
          <a:extLst>
            <a:ext uri="{FF2B5EF4-FFF2-40B4-BE49-F238E27FC236}">
              <a16:creationId xmlns:a16="http://schemas.microsoft.com/office/drawing/2014/main" id="{00000000-0008-0000-0A00-0000A1000000}"/>
            </a:ext>
          </a:extLst>
        </xdr:cNvPr>
        <xdr:cNvSpPr>
          <a:spLocks noChangeAspect="1" noChangeArrowheads="1"/>
        </xdr:cNvSpPr>
      </xdr:nvSpPr>
      <xdr:spPr bwMode="auto">
        <a:xfrm>
          <a:off x="0" y="25155525"/>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210425</xdr:rowOff>
    </xdr:to>
    <xdr:sp macro="" textlink="">
      <xdr:nvSpPr>
        <xdr:cNvPr id="162" name="AutoShape 181" descr="+">
          <a:extLst>
            <a:ext uri="{FF2B5EF4-FFF2-40B4-BE49-F238E27FC236}">
              <a16:creationId xmlns:a16="http://schemas.microsoft.com/office/drawing/2014/main" id="{00000000-0008-0000-0A00-0000A2000000}"/>
            </a:ext>
          </a:extLst>
        </xdr:cNvPr>
        <xdr:cNvSpPr>
          <a:spLocks noChangeAspect="1" noChangeArrowheads="1"/>
        </xdr:cNvSpPr>
      </xdr:nvSpPr>
      <xdr:spPr bwMode="auto">
        <a:xfrm>
          <a:off x="0" y="25155525"/>
          <a:ext cx="304800" cy="210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321263</xdr:rowOff>
    </xdr:to>
    <xdr:sp macro="" textlink="">
      <xdr:nvSpPr>
        <xdr:cNvPr id="163" name="AutoShape 182" descr="+">
          <a:extLst>
            <a:ext uri="{FF2B5EF4-FFF2-40B4-BE49-F238E27FC236}">
              <a16:creationId xmlns:a16="http://schemas.microsoft.com/office/drawing/2014/main" id="{00000000-0008-0000-0A00-0000A3000000}"/>
            </a:ext>
          </a:extLst>
        </xdr:cNvPr>
        <xdr:cNvSpPr>
          <a:spLocks noChangeAspect="1" noChangeArrowheads="1"/>
        </xdr:cNvSpPr>
      </xdr:nvSpPr>
      <xdr:spPr bwMode="auto">
        <a:xfrm>
          <a:off x="0" y="25155525"/>
          <a:ext cx="304800" cy="3099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164" name="AutoShape 183" descr="+">
          <a:extLst>
            <a:ext uri="{FF2B5EF4-FFF2-40B4-BE49-F238E27FC236}">
              <a16:creationId xmlns:a16="http://schemas.microsoft.com/office/drawing/2014/main" id="{00000000-0008-0000-0A00-0000A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165" name="AutoShape 184" descr="+">
          <a:extLst>
            <a:ext uri="{FF2B5EF4-FFF2-40B4-BE49-F238E27FC236}">
              <a16:creationId xmlns:a16="http://schemas.microsoft.com/office/drawing/2014/main" id="{00000000-0008-0000-0A00-0000A5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211646</xdr:rowOff>
    </xdr:to>
    <xdr:sp macro="" textlink="">
      <xdr:nvSpPr>
        <xdr:cNvPr id="166" name="AutoShape 185" descr="+">
          <a:extLst>
            <a:ext uri="{FF2B5EF4-FFF2-40B4-BE49-F238E27FC236}">
              <a16:creationId xmlns:a16="http://schemas.microsoft.com/office/drawing/2014/main" id="{00000000-0008-0000-0A00-0000A6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170694</xdr:rowOff>
    </xdr:to>
    <xdr:sp macro="" textlink="">
      <xdr:nvSpPr>
        <xdr:cNvPr id="167" name="AutoShape 186" descr="+">
          <a:extLst>
            <a:ext uri="{FF2B5EF4-FFF2-40B4-BE49-F238E27FC236}">
              <a16:creationId xmlns:a16="http://schemas.microsoft.com/office/drawing/2014/main" id="{00000000-0008-0000-0A00-0000A7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168" name="AutoShape 187" descr="+">
          <a:extLst>
            <a:ext uri="{FF2B5EF4-FFF2-40B4-BE49-F238E27FC236}">
              <a16:creationId xmlns:a16="http://schemas.microsoft.com/office/drawing/2014/main" id="{00000000-0008-0000-0A00-0000A8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210430</xdr:rowOff>
    </xdr:to>
    <xdr:sp macro="" textlink="">
      <xdr:nvSpPr>
        <xdr:cNvPr id="169" name="AutoShape 188" descr="+">
          <a:extLst>
            <a:ext uri="{FF2B5EF4-FFF2-40B4-BE49-F238E27FC236}">
              <a16:creationId xmlns:a16="http://schemas.microsoft.com/office/drawing/2014/main" id="{00000000-0008-0000-0A00-0000A9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170" name="AutoShape 189" descr="+">
          <a:extLst>
            <a:ext uri="{FF2B5EF4-FFF2-40B4-BE49-F238E27FC236}">
              <a16:creationId xmlns:a16="http://schemas.microsoft.com/office/drawing/2014/main" id="{00000000-0008-0000-0A00-0000AA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172326</xdr:rowOff>
    </xdr:to>
    <xdr:sp macro="" textlink="">
      <xdr:nvSpPr>
        <xdr:cNvPr id="171" name="AutoShape 190" descr="+">
          <a:extLst>
            <a:ext uri="{FF2B5EF4-FFF2-40B4-BE49-F238E27FC236}">
              <a16:creationId xmlns:a16="http://schemas.microsoft.com/office/drawing/2014/main" id="{00000000-0008-0000-0A00-0000AB000000}"/>
            </a:ext>
          </a:extLst>
        </xdr:cNvPr>
        <xdr:cNvSpPr>
          <a:spLocks noChangeAspect="1" noChangeArrowheads="1"/>
        </xdr:cNvSpPr>
      </xdr:nvSpPr>
      <xdr:spPr bwMode="auto">
        <a:xfrm>
          <a:off x="0" y="25155525"/>
          <a:ext cx="304800" cy="1724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172" name="AutoShape 191" descr="+">
          <a:extLst>
            <a:ext uri="{FF2B5EF4-FFF2-40B4-BE49-F238E27FC236}">
              <a16:creationId xmlns:a16="http://schemas.microsoft.com/office/drawing/2014/main" id="{00000000-0008-0000-0A00-0000A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170694</xdr:rowOff>
    </xdr:to>
    <xdr:sp macro="" textlink="">
      <xdr:nvSpPr>
        <xdr:cNvPr id="173" name="AutoShape 192" descr="+">
          <a:extLst>
            <a:ext uri="{FF2B5EF4-FFF2-40B4-BE49-F238E27FC236}">
              <a16:creationId xmlns:a16="http://schemas.microsoft.com/office/drawing/2014/main" id="{00000000-0008-0000-0A00-0000AD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174" name="AutoShape 193" descr="+">
          <a:extLst>
            <a:ext uri="{FF2B5EF4-FFF2-40B4-BE49-F238E27FC236}">
              <a16:creationId xmlns:a16="http://schemas.microsoft.com/office/drawing/2014/main" id="{00000000-0008-0000-0A00-0000A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175" name="AutoShape 194" descr="+">
          <a:extLst>
            <a:ext uri="{FF2B5EF4-FFF2-40B4-BE49-F238E27FC236}">
              <a16:creationId xmlns:a16="http://schemas.microsoft.com/office/drawing/2014/main" id="{00000000-0008-0000-0A00-0000AF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174233</xdr:rowOff>
    </xdr:to>
    <xdr:sp macro="" textlink="">
      <xdr:nvSpPr>
        <xdr:cNvPr id="176" name="AutoShape 195" descr="+">
          <a:extLst>
            <a:ext uri="{FF2B5EF4-FFF2-40B4-BE49-F238E27FC236}">
              <a16:creationId xmlns:a16="http://schemas.microsoft.com/office/drawing/2014/main" id="{00000000-0008-0000-0A00-0000B0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208241</xdr:rowOff>
    </xdr:to>
    <xdr:sp macro="" textlink="">
      <xdr:nvSpPr>
        <xdr:cNvPr id="177" name="AutoShape 196" descr="+">
          <a:extLst>
            <a:ext uri="{FF2B5EF4-FFF2-40B4-BE49-F238E27FC236}">
              <a16:creationId xmlns:a16="http://schemas.microsoft.com/office/drawing/2014/main" id="{00000000-0008-0000-0A00-0000B1000000}"/>
            </a:ext>
          </a:extLst>
        </xdr:cNvPr>
        <xdr:cNvSpPr>
          <a:spLocks noChangeAspect="1" noChangeArrowheads="1"/>
        </xdr:cNvSpPr>
      </xdr:nvSpPr>
      <xdr:spPr bwMode="auto">
        <a:xfrm>
          <a:off x="0" y="25155525"/>
          <a:ext cx="304800" cy="2007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308527</xdr:rowOff>
    </xdr:to>
    <xdr:sp macro="" textlink="">
      <xdr:nvSpPr>
        <xdr:cNvPr id="178" name="AutoShape 197" descr="+">
          <a:extLst>
            <a:ext uri="{FF2B5EF4-FFF2-40B4-BE49-F238E27FC236}">
              <a16:creationId xmlns:a16="http://schemas.microsoft.com/office/drawing/2014/main" id="{00000000-0008-0000-0A00-0000B2000000}"/>
            </a:ext>
          </a:extLst>
        </xdr:cNvPr>
        <xdr:cNvSpPr>
          <a:spLocks noChangeAspect="1" noChangeArrowheads="1"/>
        </xdr:cNvSpPr>
      </xdr:nvSpPr>
      <xdr:spPr bwMode="auto">
        <a:xfrm>
          <a:off x="0" y="251555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179" name="AutoShape 198" descr="+">
          <a:extLst>
            <a:ext uri="{FF2B5EF4-FFF2-40B4-BE49-F238E27FC236}">
              <a16:creationId xmlns:a16="http://schemas.microsoft.com/office/drawing/2014/main" id="{00000000-0008-0000-0A00-0000B3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171649</xdr:rowOff>
    </xdr:to>
    <xdr:sp macro="" textlink="">
      <xdr:nvSpPr>
        <xdr:cNvPr id="180" name="AutoShape 199" descr="+">
          <a:extLst>
            <a:ext uri="{FF2B5EF4-FFF2-40B4-BE49-F238E27FC236}">
              <a16:creationId xmlns:a16="http://schemas.microsoft.com/office/drawing/2014/main" id="{00000000-0008-0000-0A00-0000B4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187197</xdr:rowOff>
    </xdr:to>
    <xdr:sp macro="" textlink="">
      <xdr:nvSpPr>
        <xdr:cNvPr id="181" name="AutoShape 200" descr="+">
          <a:extLst>
            <a:ext uri="{FF2B5EF4-FFF2-40B4-BE49-F238E27FC236}">
              <a16:creationId xmlns:a16="http://schemas.microsoft.com/office/drawing/2014/main" id="{00000000-0008-0000-0A00-0000B5000000}"/>
            </a:ext>
          </a:extLst>
        </xdr:cNvPr>
        <xdr:cNvSpPr>
          <a:spLocks noChangeAspect="1" noChangeArrowheads="1"/>
        </xdr:cNvSpPr>
      </xdr:nvSpPr>
      <xdr:spPr bwMode="auto">
        <a:xfrm>
          <a:off x="0" y="25155525"/>
          <a:ext cx="304800" cy="183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182" name="AutoShape 201" descr="+">
          <a:extLst>
            <a:ext uri="{FF2B5EF4-FFF2-40B4-BE49-F238E27FC236}">
              <a16:creationId xmlns:a16="http://schemas.microsoft.com/office/drawing/2014/main" id="{00000000-0008-0000-0A00-0000B6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183" name="AutoShape 202" descr="+">
          <a:extLst>
            <a:ext uri="{FF2B5EF4-FFF2-40B4-BE49-F238E27FC236}">
              <a16:creationId xmlns:a16="http://schemas.microsoft.com/office/drawing/2014/main" id="{00000000-0008-0000-0A00-0000B7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184" name="AutoShape 203" descr="+">
          <a:extLst>
            <a:ext uri="{FF2B5EF4-FFF2-40B4-BE49-F238E27FC236}">
              <a16:creationId xmlns:a16="http://schemas.microsoft.com/office/drawing/2014/main" id="{00000000-0008-0000-0A00-0000B8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185" name="AutoShape 204" descr="+">
          <a:extLst>
            <a:ext uri="{FF2B5EF4-FFF2-40B4-BE49-F238E27FC236}">
              <a16:creationId xmlns:a16="http://schemas.microsoft.com/office/drawing/2014/main" id="{00000000-0008-0000-0A00-0000B9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186" name="AutoShape 205" descr="+">
          <a:extLst>
            <a:ext uri="{FF2B5EF4-FFF2-40B4-BE49-F238E27FC236}">
              <a16:creationId xmlns:a16="http://schemas.microsoft.com/office/drawing/2014/main" id="{00000000-0008-0000-0A00-0000BA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187" name="AutoShape 206" descr="+">
          <a:extLst>
            <a:ext uri="{FF2B5EF4-FFF2-40B4-BE49-F238E27FC236}">
              <a16:creationId xmlns:a16="http://schemas.microsoft.com/office/drawing/2014/main" id="{00000000-0008-0000-0A00-0000B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174234</xdr:rowOff>
    </xdr:to>
    <xdr:sp macro="" textlink="">
      <xdr:nvSpPr>
        <xdr:cNvPr id="188" name="AutoShape 207" descr="+">
          <a:extLst>
            <a:ext uri="{FF2B5EF4-FFF2-40B4-BE49-F238E27FC236}">
              <a16:creationId xmlns:a16="http://schemas.microsoft.com/office/drawing/2014/main" id="{00000000-0008-0000-0A00-0000BC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189" name="AutoShape 208" descr="+">
          <a:extLst>
            <a:ext uri="{FF2B5EF4-FFF2-40B4-BE49-F238E27FC236}">
              <a16:creationId xmlns:a16="http://schemas.microsoft.com/office/drawing/2014/main" id="{00000000-0008-0000-0A00-0000BD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210426</xdr:rowOff>
    </xdr:to>
    <xdr:sp macro="" textlink="">
      <xdr:nvSpPr>
        <xdr:cNvPr id="190" name="AutoShape 209" descr="+">
          <a:extLst>
            <a:ext uri="{FF2B5EF4-FFF2-40B4-BE49-F238E27FC236}">
              <a16:creationId xmlns:a16="http://schemas.microsoft.com/office/drawing/2014/main" id="{00000000-0008-0000-0A00-0000BE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206618</xdr:rowOff>
    </xdr:to>
    <xdr:sp macro="" textlink="">
      <xdr:nvSpPr>
        <xdr:cNvPr id="191" name="AutoShape 210" descr="+">
          <a:extLst>
            <a:ext uri="{FF2B5EF4-FFF2-40B4-BE49-F238E27FC236}">
              <a16:creationId xmlns:a16="http://schemas.microsoft.com/office/drawing/2014/main" id="{00000000-0008-0000-0A00-0000BF000000}"/>
            </a:ext>
          </a:extLst>
        </xdr:cNvPr>
        <xdr:cNvSpPr>
          <a:spLocks noChangeAspect="1" noChangeArrowheads="1"/>
        </xdr:cNvSpPr>
      </xdr:nvSpPr>
      <xdr:spPr bwMode="auto">
        <a:xfrm>
          <a:off x="0" y="2515552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308527</xdr:rowOff>
    </xdr:to>
    <xdr:sp macro="" textlink="">
      <xdr:nvSpPr>
        <xdr:cNvPr id="192" name="AutoShape 211" descr="+">
          <a:extLst>
            <a:ext uri="{FF2B5EF4-FFF2-40B4-BE49-F238E27FC236}">
              <a16:creationId xmlns:a16="http://schemas.microsoft.com/office/drawing/2014/main" id="{00000000-0008-0000-0A00-0000C0000000}"/>
            </a:ext>
          </a:extLst>
        </xdr:cNvPr>
        <xdr:cNvSpPr>
          <a:spLocks noChangeAspect="1" noChangeArrowheads="1"/>
        </xdr:cNvSpPr>
      </xdr:nvSpPr>
      <xdr:spPr bwMode="auto">
        <a:xfrm>
          <a:off x="0" y="251555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284367</xdr:rowOff>
    </xdr:to>
    <xdr:sp macro="" textlink="">
      <xdr:nvSpPr>
        <xdr:cNvPr id="193" name="AutoShape 212" descr="+">
          <a:extLst>
            <a:ext uri="{FF2B5EF4-FFF2-40B4-BE49-F238E27FC236}">
              <a16:creationId xmlns:a16="http://schemas.microsoft.com/office/drawing/2014/main" id="{00000000-0008-0000-0A00-0000C1000000}"/>
            </a:ext>
          </a:extLst>
        </xdr:cNvPr>
        <xdr:cNvSpPr>
          <a:spLocks noChangeAspect="1" noChangeArrowheads="1"/>
        </xdr:cNvSpPr>
      </xdr:nvSpPr>
      <xdr:spPr bwMode="auto">
        <a:xfrm>
          <a:off x="0" y="25155525"/>
          <a:ext cx="304800" cy="2768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173048</xdr:rowOff>
    </xdr:to>
    <xdr:sp macro="" textlink="">
      <xdr:nvSpPr>
        <xdr:cNvPr id="194" name="AutoShape 213" descr="+">
          <a:extLst>
            <a:ext uri="{FF2B5EF4-FFF2-40B4-BE49-F238E27FC236}">
              <a16:creationId xmlns:a16="http://schemas.microsoft.com/office/drawing/2014/main" id="{00000000-0008-0000-0A00-0000C2000000}"/>
            </a:ext>
          </a:extLst>
        </xdr:cNvPr>
        <xdr:cNvSpPr>
          <a:spLocks noChangeAspect="1" noChangeArrowheads="1"/>
        </xdr:cNvSpPr>
      </xdr:nvSpPr>
      <xdr:spPr bwMode="auto">
        <a:xfrm>
          <a:off x="0" y="25155525"/>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195" name="AutoShape 214" descr="+">
          <a:extLst>
            <a:ext uri="{FF2B5EF4-FFF2-40B4-BE49-F238E27FC236}">
              <a16:creationId xmlns:a16="http://schemas.microsoft.com/office/drawing/2014/main" id="{00000000-0008-0000-0A00-0000C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196" name="AutoShape 215" descr="+">
          <a:extLst>
            <a:ext uri="{FF2B5EF4-FFF2-40B4-BE49-F238E27FC236}">
              <a16:creationId xmlns:a16="http://schemas.microsoft.com/office/drawing/2014/main" id="{00000000-0008-0000-0A00-0000C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210627</xdr:rowOff>
    </xdr:to>
    <xdr:sp macro="" textlink="">
      <xdr:nvSpPr>
        <xdr:cNvPr id="197" name="AutoShape 216" descr="+">
          <a:extLst>
            <a:ext uri="{FF2B5EF4-FFF2-40B4-BE49-F238E27FC236}">
              <a16:creationId xmlns:a16="http://schemas.microsoft.com/office/drawing/2014/main" id="{00000000-0008-0000-0A00-0000C5000000}"/>
            </a:ext>
          </a:extLst>
        </xdr:cNvPr>
        <xdr:cNvSpPr>
          <a:spLocks noChangeAspect="1" noChangeArrowheads="1"/>
        </xdr:cNvSpPr>
      </xdr:nvSpPr>
      <xdr:spPr bwMode="auto">
        <a:xfrm>
          <a:off x="0" y="25155525"/>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198" name="AutoShape 217" descr="+">
          <a:extLst>
            <a:ext uri="{FF2B5EF4-FFF2-40B4-BE49-F238E27FC236}">
              <a16:creationId xmlns:a16="http://schemas.microsoft.com/office/drawing/2014/main" id="{00000000-0008-0000-0A00-0000C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199" name="AutoShape 218" descr="+">
          <a:extLst>
            <a:ext uri="{FF2B5EF4-FFF2-40B4-BE49-F238E27FC236}">
              <a16:creationId xmlns:a16="http://schemas.microsoft.com/office/drawing/2014/main" id="{00000000-0008-0000-0A00-0000C7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190424</xdr:rowOff>
    </xdr:to>
    <xdr:sp macro="" textlink="">
      <xdr:nvSpPr>
        <xdr:cNvPr id="200" name="AutoShape 219" descr="+">
          <a:extLst>
            <a:ext uri="{FF2B5EF4-FFF2-40B4-BE49-F238E27FC236}">
              <a16:creationId xmlns:a16="http://schemas.microsoft.com/office/drawing/2014/main" id="{00000000-0008-0000-0A00-0000C8000000}"/>
            </a:ext>
          </a:extLst>
        </xdr:cNvPr>
        <xdr:cNvSpPr>
          <a:spLocks noChangeAspect="1" noChangeArrowheads="1"/>
        </xdr:cNvSpPr>
      </xdr:nvSpPr>
      <xdr:spPr bwMode="auto">
        <a:xfrm>
          <a:off x="0" y="25155525"/>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201" name="AutoShape 220" descr="+">
          <a:extLst>
            <a:ext uri="{FF2B5EF4-FFF2-40B4-BE49-F238E27FC236}">
              <a16:creationId xmlns:a16="http://schemas.microsoft.com/office/drawing/2014/main" id="{00000000-0008-0000-0A00-0000C9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202" name="AutoShape 221" descr="+">
          <a:extLst>
            <a:ext uri="{FF2B5EF4-FFF2-40B4-BE49-F238E27FC236}">
              <a16:creationId xmlns:a16="http://schemas.microsoft.com/office/drawing/2014/main" id="{00000000-0008-0000-0A00-0000CA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203" name="AutoShape 222" descr="+">
          <a:extLst>
            <a:ext uri="{FF2B5EF4-FFF2-40B4-BE49-F238E27FC236}">
              <a16:creationId xmlns:a16="http://schemas.microsoft.com/office/drawing/2014/main" id="{00000000-0008-0000-0A00-0000CB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204" name="AutoShape 223" descr="+">
          <a:extLst>
            <a:ext uri="{FF2B5EF4-FFF2-40B4-BE49-F238E27FC236}">
              <a16:creationId xmlns:a16="http://schemas.microsoft.com/office/drawing/2014/main" id="{00000000-0008-0000-0A00-0000CC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205" name="AutoShape 224" descr="+">
          <a:extLst>
            <a:ext uri="{FF2B5EF4-FFF2-40B4-BE49-F238E27FC236}">
              <a16:creationId xmlns:a16="http://schemas.microsoft.com/office/drawing/2014/main" id="{00000000-0008-0000-0A00-0000C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206617</xdr:rowOff>
    </xdr:to>
    <xdr:sp macro="" textlink="">
      <xdr:nvSpPr>
        <xdr:cNvPr id="206" name="AutoShape 225" descr="+">
          <a:extLst>
            <a:ext uri="{FF2B5EF4-FFF2-40B4-BE49-F238E27FC236}">
              <a16:creationId xmlns:a16="http://schemas.microsoft.com/office/drawing/2014/main" id="{00000000-0008-0000-0A00-0000CE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308529</xdr:rowOff>
    </xdr:to>
    <xdr:sp macro="" textlink="">
      <xdr:nvSpPr>
        <xdr:cNvPr id="207" name="AutoShape 226" descr="+">
          <a:extLst>
            <a:ext uri="{FF2B5EF4-FFF2-40B4-BE49-F238E27FC236}">
              <a16:creationId xmlns:a16="http://schemas.microsoft.com/office/drawing/2014/main" id="{00000000-0008-0000-0A00-0000CF000000}"/>
            </a:ext>
          </a:extLst>
        </xdr:cNvPr>
        <xdr:cNvSpPr>
          <a:spLocks noChangeAspect="1" noChangeArrowheads="1"/>
        </xdr:cNvSpPr>
      </xdr:nvSpPr>
      <xdr:spPr bwMode="auto">
        <a:xfrm>
          <a:off x="0" y="2515552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208" name="AutoShape 227" descr="+">
          <a:extLst>
            <a:ext uri="{FF2B5EF4-FFF2-40B4-BE49-F238E27FC236}">
              <a16:creationId xmlns:a16="http://schemas.microsoft.com/office/drawing/2014/main" id="{00000000-0008-0000-0A00-0000D0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209" name="AutoShape 228" descr="+">
          <a:extLst>
            <a:ext uri="{FF2B5EF4-FFF2-40B4-BE49-F238E27FC236}">
              <a16:creationId xmlns:a16="http://schemas.microsoft.com/office/drawing/2014/main" id="{00000000-0008-0000-0A00-0000D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321636</xdr:rowOff>
    </xdr:to>
    <xdr:sp macro="" textlink="">
      <xdr:nvSpPr>
        <xdr:cNvPr id="210" name="AutoShape 229" descr="+">
          <a:extLst>
            <a:ext uri="{FF2B5EF4-FFF2-40B4-BE49-F238E27FC236}">
              <a16:creationId xmlns:a16="http://schemas.microsoft.com/office/drawing/2014/main" id="{00000000-0008-0000-0A00-0000D2000000}"/>
            </a:ext>
          </a:extLst>
        </xdr:cNvPr>
        <xdr:cNvSpPr>
          <a:spLocks noChangeAspect="1" noChangeArrowheads="1"/>
        </xdr:cNvSpPr>
      </xdr:nvSpPr>
      <xdr:spPr bwMode="auto">
        <a:xfrm>
          <a:off x="0" y="25155525"/>
          <a:ext cx="304800" cy="3064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308528</xdr:rowOff>
    </xdr:to>
    <xdr:sp macro="" textlink="">
      <xdr:nvSpPr>
        <xdr:cNvPr id="211" name="AutoShape 230" descr="+">
          <a:extLst>
            <a:ext uri="{FF2B5EF4-FFF2-40B4-BE49-F238E27FC236}">
              <a16:creationId xmlns:a16="http://schemas.microsoft.com/office/drawing/2014/main" id="{00000000-0008-0000-0A00-0000D3000000}"/>
            </a:ext>
          </a:extLst>
        </xdr:cNvPr>
        <xdr:cNvSpPr>
          <a:spLocks noChangeAspect="1" noChangeArrowheads="1"/>
        </xdr:cNvSpPr>
      </xdr:nvSpPr>
      <xdr:spPr bwMode="auto">
        <a:xfrm>
          <a:off x="0" y="2515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212" name="AutoShape 231" descr="+">
          <a:extLst>
            <a:ext uri="{FF2B5EF4-FFF2-40B4-BE49-F238E27FC236}">
              <a16:creationId xmlns:a16="http://schemas.microsoft.com/office/drawing/2014/main" id="{00000000-0008-0000-0A00-0000D4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174235</xdr:rowOff>
    </xdr:to>
    <xdr:sp macro="" textlink="">
      <xdr:nvSpPr>
        <xdr:cNvPr id="213" name="AutoShape 232" descr="+">
          <a:extLst>
            <a:ext uri="{FF2B5EF4-FFF2-40B4-BE49-F238E27FC236}">
              <a16:creationId xmlns:a16="http://schemas.microsoft.com/office/drawing/2014/main" id="{00000000-0008-0000-0A00-0000D5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214" name="AutoShape 233" descr="+">
          <a:extLst>
            <a:ext uri="{FF2B5EF4-FFF2-40B4-BE49-F238E27FC236}">
              <a16:creationId xmlns:a16="http://schemas.microsoft.com/office/drawing/2014/main" id="{00000000-0008-0000-0A00-0000D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215" name="AutoShape 234" descr="+">
          <a:extLst>
            <a:ext uri="{FF2B5EF4-FFF2-40B4-BE49-F238E27FC236}">
              <a16:creationId xmlns:a16="http://schemas.microsoft.com/office/drawing/2014/main" id="{00000000-0008-0000-0A00-0000D7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210426</xdr:rowOff>
    </xdr:to>
    <xdr:sp macro="" textlink="">
      <xdr:nvSpPr>
        <xdr:cNvPr id="216" name="AutoShape 235" descr="+">
          <a:extLst>
            <a:ext uri="{FF2B5EF4-FFF2-40B4-BE49-F238E27FC236}">
              <a16:creationId xmlns:a16="http://schemas.microsoft.com/office/drawing/2014/main" id="{00000000-0008-0000-0A00-0000D8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217" name="AutoShape 236" descr="+">
          <a:extLst>
            <a:ext uri="{FF2B5EF4-FFF2-40B4-BE49-F238E27FC236}">
              <a16:creationId xmlns:a16="http://schemas.microsoft.com/office/drawing/2014/main" id="{00000000-0008-0000-0A00-0000D9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218" name="AutoShape 237" descr="+">
          <a:extLst>
            <a:ext uri="{FF2B5EF4-FFF2-40B4-BE49-F238E27FC236}">
              <a16:creationId xmlns:a16="http://schemas.microsoft.com/office/drawing/2014/main" id="{00000000-0008-0000-0A00-0000D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210431</xdr:rowOff>
    </xdr:to>
    <xdr:sp macro="" textlink="">
      <xdr:nvSpPr>
        <xdr:cNvPr id="219" name="AutoShape 238" descr="+">
          <a:extLst>
            <a:ext uri="{FF2B5EF4-FFF2-40B4-BE49-F238E27FC236}">
              <a16:creationId xmlns:a16="http://schemas.microsoft.com/office/drawing/2014/main" id="{00000000-0008-0000-0A00-0000DB000000}"/>
            </a:ext>
          </a:extLst>
        </xdr:cNvPr>
        <xdr:cNvSpPr>
          <a:spLocks noChangeAspect="1" noChangeArrowheads="1"/>
        </xdr:cNvSpPr>
      </xdr:nvSpPr>
      <xdr:spPr bwMode="auto">
        <a:xfrm>
          <a:off x="0" y="2515552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210426</xdr:rowOff>
    </xdr:to>
    <xdr:sp macro="" textlink="">
      <xdr:nvSpPr>
        <xdr:cNvPr id="220" name="AutoShape 239" descr="+">
          <a:extLst>
            <a:ext uri="{FF2B5EF4-FFF2-40B4-BE49-F238E27FC236}">
              <a16:creationId xmlns:a16="http://schemas.microsoft.com/office/drawing/2014/main" id="{00000000-0008-0000-0A00-0000DC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221" name="AutoShape 240" descr="+">
          <a:extLst>
            <a:ext uri="{FF2B5EF4-FFF2-40B4-BE49-F238E27FC236}">
              <a16:creationId xmlns:a16="http://schemas.microsoft.com/office/drawing/2014/main" id="{00000000-0008-0000-0A00-0000DD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222" name="AutoShape 241" descr="+">
          <a:extLst>
            <a:ext uri="{FF2B5EF4-FFF2-40B4-BE49-F238E27FC236}">
              <a16:creationId xmlns:a16="http://schemas.microsoft.com/office/drawing/2014/main" id="{00000000-0008-0000-0A00-0000DE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190425</xdr:rowOff>
    </xdr:to>
    <xdr:sp macro="" textlink="">
      <xdr:nvSpPr>
        <xdr:cNvPr id="223" name="AutoShape 242" descr="+">
          <a:extLst>
            <a:ext uri="{FF2B5EF4-FFF2-40B4-BE49-F238E27FC236}">
              <a16:creationId xmlns:a16="http://schemas.microsoft.com/office/drawing/2014/main" id="{00000000-0008-0000-0A00-0000DF000000}"/>
            </a:ext>
          </a:extLst>
        </xdr:cNvPr>
        <xdr:cNvSpPr>
          <a:spLocks noChangeAspect="1" noChangeArrowheads="1"/>
        </xdr:cNvSpPr>
      </xdr:nvSpPr>
      <xdr:spPr bwMode="auto">
        <a:xfrm>
          <a:off x="0" y="25155525"/>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224" name="AutoShape 243" descr="+">
          <a:extLst>
            <a:ext uri="{FF2B5EF4-FFF2-40B4-BE49-F238E27FC236}">
              <a16:creationId xmlns:a16="http://schemas.microsoft.com/office/drawing/2014/main" id="{00000000-0008-0000-0A00-0000E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225" name="AutoShape 244" descr="+">
          <a:extLst>
            <a:ext uri="{FF2B5EF4-FFF2-40B4-BE49-F238E27FC236}">
              <a16:creationId xmlns:a16="http://schemas.microsoft.com/office/drawing/2014/main" id="{00000000-0008-0000-0A00-0000E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226" name="AutoShape 245" descr="+">
          <a:extLst>
            <a:ext uri="{FF2B5EF4-FFF2-40B4-BE49-F238E27FC236}">
              <a16:creationId xmlns:a16="http://schemas.microsoft.com/office/drawing/2014/main" id="{00000000-0008-0000-0A00-0000E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170694</xdr:rowOff>
    </xdr:to>
    <xdr:sp macro="" textlink="">
      <xdr:nvSpPr>
        <xdr:cNvPr id="227" name="AutoShape 246" descr="+">
          <a:extLst>
            <a:ext uri="{FF2B5EF4-FFF2-40B4-BE49-F238E27FC236}">
              <a16:creationId xmlns:a16="http://schemas.microsoft.com/office/drawing/2014/main" id="{00000000-0008-0000-0A00-0000E3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228" name="AutoShape 247" descr="+">
          <a:extLst>
            <a:ext uri="{FF2B5EF4-FFF2-40B4-BE49-F238E27FC236}">
              <a16:creationId xmlns:a16="http://schemas.microsoft.com/office/drawing/2014/main" id="{00000000-0008-0000-0A00-0000E4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174235</xdr:rowOff>
    </xdr:to>
    <xdr:sp macro="" textlink="">
      <xdr:nvSpPr>
        <xdr:cNvPr id="229" name="AutoShape 248" descr="+">
          <a:extLst>
            <a:ext uri="{FF2B5EF4-FFF2-40B4-BE49-F238E27FC236}">
              <a16:creationId xmlns:a16="http://schemas.microsoft.com/office/drawing/2014/main" id="{00000000-0008-0000-0A00-0000E5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230" name="AutoShape 249" descr="+">
          <a:extLst>
            <a:ext uri="{FF2B5EF4-FFF2-40B4-BE49-F238E27FC236}">
              <a16:creationId xmlns:a16="http://schemas.microsoft.com/office/drawing/2014/main" id="{00000000-0008-0000-0A00-0000E6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231" name="AutoShape 250" descr="+">
          <a:extLst>
            <a:ext uri="{FF2B5EF4-FFF2-40B4-BE49-F238E27FC236}">
              <a16:creationId xmlns:a16="http://schemas.microsoft.com/office/drawing/2014/main" id="{00000000-0008-0000-0A00-0000E7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232" name="AutoShape 251" descr="+">
          <a:extLst>
            <a:ext uri="{FF2B5EF4-FFF2-40B4-BE49-F238E27FC236}">
              <a16:creationId xmlns:a16="http://schemas.microsoft.com/office/drawing/2014/main" id="{00000000-0008-0000-0A00-0000E8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210426</xdr:rowOff>
    </xdr:to>
    <xdr:sp macro="" textlink="">
      <xdr:nvSpPr>
        <xdr:cNvPr id="233" name="AutoShape 252" descr="+">
          <a:extLst>
            <a:ext uri="{FF2B5EF4-FFF2-40B4-BE49-F238E27FC236}">
              <a16:creationId xmlns:a16="http://schemas.microsoft.com/office/drawing/2014/main" id="{00000000-0008-0000-0A00-0000E9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174234</xdr:rowOff>
    </xdr:to>
    <xdr:sp macro="" textlink="">
      <xdr:nvSpPr>
        <xdr:cNvPr id="234" name="AutoShape 253" descr="+">
          <a:extLst>
            <a:ext uri="{FF2B5EF4-FFF2-40B4-BE49-F238E27FC236}">
              <a16:creationId xmlns:a16="http://schemas.microsoft.com/office/drawing/2014/main" id="{00000000-0008-0000-0A00-0000EA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235" name="AutoShape 254" descr="+">
          <a:extLst>
            <a:ext uri="{FF2B5EF4-FFF2-40B4-BE49-F238E27FC236}">
              <a16:creationId xmlns:a16="http://schemas.microsoft.com/office/drawing/2014/main" id="{00000000-0008-0000-0A00-0000EB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236" name="AutoShape 255" descr="+">
          <a:extLst>
            <a:ext uri="{FF2B5EF4-FFF2-40B4-BE49-F238E27FC236}">
              <a16:creationId xmlns:a16="http://schemas.microsoft.com/office/drawing/2014/main" id="{00000000-0008-0000-0A00-0000E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237" name="AutoShape 256" descr="+">
          <a:extLst>
            <a:ext uri="{FF2B5EF4-FFF2-40B4-BE49-F238E27FC236}">
              <a16:creationId xmlns:a16="http://schemas.microsoft.com/office/drawing/2014/main" id="{00000000-0008-0000-0A00-0000E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238" name="AutoShape 257" descr="+">
          <a:extLst>
            <a:ext uri="{FF2B5EF4-FFF2-40B4-BE49-F238E27FC236}">
              <a16:creationId xmlns:a16="http://schemas.microsoft.com/office/drawing/2014/main" id="{00000000-0008-0000-0A00-0000E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283090</xdr:rowOff>
    </xdr:to>
    <xdr:sp macro="" textlink="">
      <xdr:nvSpPr>
        <xdr:cNvPr id="239" name="AutoShape 258" descr="+">
          <a:extLst>
            <a:ext uri="{FF2B5EF4-FFF2-40B4-BE49-F238E27FC236}">
              <a16:creationId xmlns:a16="http://schemas.microsoft.com/office/drawing/2014/main" id="{00000000-0008-0000-0A00-0000EF000000}"/>
            </a:ext>
          </a:extLst>
        </xdr:cNvPr>
        <xdr:cNvSpPr>
          <a:spLocks noChangeAspect="1" noChangeArrowheads="1"/>
        </xdr:cNvSpPr>
      </xdr:nvSpPr>
      <xdr:spPr bwMode="auto">
        <a:xfrm>
          <a:off x="0" y="25155525"/>
          <a:ext cx="304800" cy="27174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174234</xdr:rowOff>
    </xdr:to>
    <xdr:sp macro="" textlink="">
      <xdr:nvSpPr>
        <xdr:cNvPr id="240" name="AutoShape 259" descr="+">
          <a:extLst>
            <a:ext uri="{FF2B5EF4-FFF2-40B4-BE49-F238E27FC236}">
              <a16:creationId xmlns:a16="http://schemas.microsoft.com/office/drawing/2014/main" id="{00000000-0008-0000-0A00-0000F0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308528</xdr:rowOff>
    </xdr:to>
    <xdr:sp macro="" textlink="">
      <xdr:nvSpPr>
        <xdr:cNvPr id="241" name="AutoShape 260" descr="+">
          <a:extLst>
            <a:ext uri="{FF2B5EF4-FFF2-40B4-BE49-F238E27FC236}">
              <a16:creationId xmlns:a16="http://schemas.microsoft.com/office/drawing/2014/main" id="{00000000-0008-0000-0A00-0000F1000000}"/>
            </a:ext>
          </a:extLst>
        </xdr:cNvPr>
        <xdr:cNvSpPr>
          <a:spLocks noChangeAspect="1" noChangeArrowheads="1"/>
        </xdr:cNvSpPr>
      </xdr:nvSpPr>
      <xdr:spPr bwMode="auto">
        <a:xfrm>
          <a:off x="0" y="2515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242" name="AutoShape 261" descr="+">
          <a:extLst>
            <a:ext uri="{FF2B5EF4-FFF2-40B4-BE49-F238E27FC236}">
              <a16:creationId xmlns:a16="http://schemas.microsoft.com/office/drawing/2014/main" id="{00000000-0008-0000-0A00-0000F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243" name="AutoShape 262" descr="+">
          <a:extLst>
            <a:ext uri="{FF2B5EF4-FFF2-40B4-BE49-F238E27FC236}">
              <a16:creationId xmlns:a16="http://schemas.microsoft.com/office/drawing/2014/main" id="{00000000-0008-0000-0A00-0000F3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172866</xdr:rowOff>
    </xdr:to>
    <xdr:sp macro="" textlink="">
      <xdr:nvSpPr>
        <xdr:cNvPr id="244" name="AutoShape 263" descr="+">
          <a:extLst>
            <a:ext uri="{FF2B5EF4-FFF2-40B4-BE49-F238E27FC236}">
              <a16:creationId xmlns:a16="http://schemas.microsoft.com/office/drawing/2014/main" id="{00000000-0008-0000-0A00-0000F4000000}"/>
            </a:ext>
          </a:extLst>
        </xdr:cNvPr>
        <xdr:cNvSpPr>
          <a:spLocks noChangeAspect="1" noChangeArrowheads="1"/>
        </xdr:cNvSpPr>
      </xdr:nvSpPr>
      <xdr:spPr bwMode="auto">
        <a:xfrm>
          <a:off x="0" y="25155525"/>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172865</xdr:rowOff>
    </xdr:to>
    <xdr:sp macro="" textlink="">
      <xdr:nvSpPr>
        <xdr:cNvPr id="245" name="AutoShape 264" descr="+">
          <a:extLst>
            <a:ext uri="{FF2B5EF4-FFF2-40B4-BE49-F238E27FC236}">
              <a16:creationId xmlns:a16="http://schemas.microsoft.com/office/drawing/2014/main" id="{00000000-0008-0000-0A00-0000F5000000}"/>
            </a:ext>
          </a:extLst>
        </xdr:cNvPr>
        <xdr:cNvSpPr>
          <a:spLocks noChangeAspect="1" noChangeArrowheads="1"/>
        </xdr:cNvSpPr>
      </xdr:nvSpPr>
      <xdr:spPr bwMode="auto">
        <a:xfrm>
          <a:off x="0" y="25155525"/>
          <a:ext cx="304800" cy="1653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211648</xdr:rowOff>
    </xdr:to>
    <xdr:sp macro="" textlink="">
      <xdr:nvSpPr>
        <xdr:cNvPr id="246" name="AutoShape 265" descr="+">
          <a:extLst>
            <a:ext uri="{FF2B5EF4-FFF2-40B4-BE49-F238E27FC236}">
              <a16:creationId xmlns:a16="http://schemas.microsoft.com/office/drawing/2014/main" id="{00000000-0008-0000-0A00-0000F6000000}"/>
            </a:ext>
          </a:extLst>
        </xdr:cNvPr>
        <xdr:cNvSpPr>
          <a:spLocks noChangeAspect="1" noChangeArrowheads="1"/>
        </xdr:cNvSpPr>
      </xdr:nvSpPr>
      <xdr:spPr bwMode="auto">
        <a:xfrm>
          <a:off x="0" y="2515552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211643</xdr:rowOff>
    </xdr:to>
    <xdr:sp macro="" textlink="">
      <xdr:nvSpPr>
        <xdr:cNvPr id="247" name="AutoShape 266" descr="+">
          <a:extLst>
            <a:ext uri="{FF2B5EF4-FFF2-40B4-BE49-F238E27FC236}">
              <a16:creationId xmlns:a16="http://schemas.microsoft.com/office/drawing/2014/main" id="{00000000-0008-0000-0A00-0000F7000000}"/>
            </a:ext>
          </a:extLst>
        </xdr:cNvPr>
        <xdr:cNvSpPr>
          <a:spLocks noChangeAspect="1" noChangeArrowheads="1"/>
        </xdr:cNvSpPr>
      </xdr:nvSpPr>
      <xdr:spPr bwMode="auto">
        <a:xfrm>
          <a:off x="0" y="25155525"/>
          <a:ext cx="304800" cy="204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211645</xdr:rowOff>
    </xdr:to>
    <xdr:sp macro="" textlink="">
      <xdr:nvSpPr>
        <xdr:cNvPr id="248" name="AutoShape 267" descr="+">
          <a:extLst>
            <a:ext uri="{FF2B5EF4-FFF2-40B4-BE49-F238E27FC236}">
              <a16:creationId xmlns:a16="http://schemas.microsoft.com/office/drawing/2014/main" id="{00000000-0008-0000-0A00-0000F8000000}"/>
            </a:ext>
          </a:extLst>
        </xdr:cNvPr>
        <xdr:cNvSpPr>
          <a:spLocks noChangeAspect="1" noChangeArrowheads="1"/>
        </xdr:cNvSpPr>
      </xdr:nvSpPr>
      <xdr:spPr bwMode="auto">
        <a:xfrm>
          <a:off x="0" y="2515552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211648</xdr:rowOff>
    </xdr:to>
    <xdr:sp macro="" textlink="">
      <xdr:nvSpPr>
        <xdr:cNvPr id="249" name="AutoShape 268" descr="+">
          <a:extLst>
            <a:ext uri="{FF2B5EF4-FFF2-40B4-BE49-F238E27FC236}">
              <a16:creationId xmlns:a16="http://schemas.microsoft.com/office/drawing/2014/main" id="{00000000-0008-0000-0A00-0000F9000000}"/>
            </a:ext>
          </a:extLst>
        </xdr:cNvPr>
        <xdr:cNvSpPr>
          <a:spLocks noChangeAspect="1" noChangeArrowheads="1"/>
        </xdr:cNvSpPr>
      </xdr:nvSpPr>
      <xdr:spPr bwMode="auto">
        <a:xfrm>
          <a:off x="0" y="2515552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211646</xdr:rowOff>
    </xdr:to>
    <xdr:sp macro="" textlink="">
      <xdr:nvSpPr>
        <xdr:cNvPr id="250" name="AutoShape 269" descr="+">
          <a:extLst>
            <a:ext uri="{FF2B5EF4-FFF2-40B4-BE49-F238E27FC236}">
              <a16:creationId xmlns:a16="http://schemas.microsoft.com/office/drawing/2014/main" id="{00000000-0008-0000-0A00-0000FA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211646</xdr:rowOff>
    </xdr:to>
    <xdr:sp macro="" textlink="">
      <xdr:nvSpPr>
        <xdr:cNvPr id="251" name="AutoShape 270" descr="+">
          <a:extLst>
            <a:ext uri="{FF2B5EF4-FFF2-40B4-BE49-F238E27FC236}">
              <a16:creationId xmlns:a16="http://schemas.microsoft.com/office/drawing/2014/main" id="{00000000-0008-0000-0A00-0000FB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320230</xdr:rowOff>
    </xdr:to>
    <xdr:sp macro="" textlink="">
      <xdr:nvSpPr>
        <xdr:cNvPr id="252" name="AutoShape 271" descr="+">
          <a:extLst>
            <a:ext uri="{FF2B5EF4-FFF2-40B4-BE49-F238E27FC236}">
              <a16:creationId xmlns:a16="http://schemas.microsoft.com/office/drawing/2014/main" id="{00000000-0008-0000-0A00-0000FC000000}"/>
            </a:ext>
          </a:extLst>
        </xdr:cNvPr>
        <xdr:cNvSpPr>
          <a:spLocks noChangeAspect="1" noChangeArrowheads="1"/>
        </xdr:cNvSpPr>
      </xdr:nvSpPr>
      <xdr:spPr bwMode="auto">
        <a:xfrm>
          <a:off x="0" y="251555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211646</xdr:rowOff>
    </xdr:to>
    <xdr:sp macro="" textlink="">
      <xdr:nvSpPr>
        <xdr:cNvPr id="253" name="AutoShape 272" descr="+">
          <a:extLst>
            <a:ext uri="{FF2B5EF4-FFF2-40B4-BE49-F238E27FC236}">
              <a16:creationId xmlns:a16="http://schemas.microsoft.com/office/drawing/2014/main" id="{00000000-0008-0000-0A00-0000FD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254" name="AutoShape 273" descr="+">
          <a:extLst>
            <a:ext uri="{FF2B5EF4-FFF2-40B4-BE49-F238E27FC236}">
              <a16:creationId xmlns:a16="http://schemas.microsoft.com/office/drawing/2014/main" id="{00000000-0008-0000-0A00-0000FE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255" name="AutoShape 274" descr="+">
          <a:extLst>
            <a:ext uri="{FF2B5EF4-FFF2-40B4-BE49-F238E27FC236}">
              <a16:creationId xmlns:a16="http://schemas.microsoft.com/office/drawing/2014/main" id="{00000000-0008-0000-0A00-0000FF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189024</xdr:rowOff>
    </xdr:to>
    <xdr:sp macro="" textlink="">
      <xdr:nvSpPr>
        <xdr:cNvPr id="256" name="AutoShape 275" descr="+">
          <a:extLst>
            <a:ext uri="{FF2B5EF4-FFF2-40B4-BE49-F238E27FC236}">
              <a16:creationId xmlns:a16="http://schemas.microsoft.com/office/drawing/2014/main" id="{00000000-0008-0000-0A00-000000010000}"/>
            </a:ext>
          </a:extLst>
        </xdr:cNvPr>
        <xdr:cNvSpPr>
          <a:spLocks noChangeAspect="1" noChangeArrowheads="1"/>
        </xdr:cNvSpPr>
      </xdr:nvSpPr>
      <xdr:spPr bwMode="auto">
        <a:xfrm>
          <a:off x="0" y="25155525"/>
          <a:ext cx="304800" cy="1852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171648</xdr:rowOff>
    </xdr:to>
    <xdr:sp macro="" textlink="">
      <xdr:nvSpPr>
        <xdr:cNvPr id="257" name="AutoShape 276" descr="+">
          <a:extLst>
            <a:ext uri="{FF2B5EF4-FFF2-40B4-BE49-F238E27FC236}">
              <a16:creationId xmlns:a16="http://schemas.microsoft.com/office/drawing/2014/main" id="{00000000-0008-0000-0A00-00000101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210426</xdr:rowOff>
    </xdr:to>
    <xdr:sp macro="" textlink="">
      <xdr:nvSpPr>
        <xdr:cNvPr id="258" name="AutoShape 277" descr="+">
          <a:extLst>
            <a:ext uri="{FF2B5EF4-FFF2-40B4-BE49-F238E27FC236}">
              <a16:creationId xmlns:a16="http://schemas.microsoft.com/office/drawing/2014/main" id="{00000000-0008-0000-0A00-00000201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259" name="AutoShape 278" descr="+">
          <a:extLst>
            <a:ext uri="{FF2B5EF4-FFF2-40B4-BE49-F238E27FC236}">
              <a16:creationId xmlns:a16="http://schemas.microsoft.com/office/drawing/2014/main" id="{00000000-0008-0000-0A00-00000301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206618</xdr:rowOff>
    </xdr:to>
    <xdr:sp macro="" textlink="">
      <xdr:nvSpPr>
        <xdr:cNvPr id="260" name="AutoShape 279" descr="+">
          <a:extLst>
            <a:ext uri="{FF2B5EF4-FFF2-40B4-BE49-F238E27FC236}">
              <a16:creationId xmlns:a16="http://schemas.microsoft.com/office/drawing/2014/main" id="{00000000-0008-0000-0A00-000004010000}"/>
            </a:ext>
          </a:extLst>
        </xdr:cNvPr>
        <xdr:cNvSpPr>
          <a:spLocks noChangeAspect="1" noChangeArrowheads="1"/>
        </xdr:cNvSpPr>
      </xdr:nvSpPr>
      <xdr:spPr bwMode="auto">
        <a:xfrm>
          <a:off x="0" y="2515552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210430</xdr:rowOff>
    </xdr:to>
    <xdr:sp macro="" textlink="">
      <xdr:nvSpPr>
        <xdr:cNvPr id="261" name="AutoShape 280" descr="+">
          <a:extLst>
            <a:ext uri="{FF2B5EF4-FFF2-40B4-BE49-F238E27FC236}">
              <a16:creationId xmlns:a16="http://schemas.microsoft.com/office/drawing/2014/main" id="{00000000-0008-0000-0A00-00000501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210427</xdr:rowOff>
    </xdr:to>
    <xdr:sp macro="" textlink="">
      <xdr:nvSpPr>
        <xdr:cNvPr id="262" name="AutoShape 281" descr="+">
          <a:extLst>
            <a:ext uri="{FF2B5EF4-FFF2-40B4-BE49-F238E27FC236}">
              <a16:creationId xmlns:a16="http://schemas.microsoft.com/office/drawing/2014/main" id="{00000000-0008-0000-0A00-00000601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210425</xdr:rowOff>
    </xdr:to>
    <xdr:sp macro="" textlink="">
      <xdr:nvSpPr>
        <xdr:cNvPr id="263" name="AutoShape 282" descr="+">
          <a:extLst>
            <a:ext uri="{FF2B5EF4-FFF2-40B4-BE49-F238E27FC236}">
              <a16:creationId xmlns:a16="http://schemas.microsoft.com/office/drawing/2014/main" id="{00000000-0008-0000-0A00-000007010000}"/>
            </a:ext>
          </a:extLst>
        </xdr:cNvPr>
        <xdr:cNvSpPr>
          <a:spLocks noChangeAspect="1" noChangeArrowheads="1"/>
        </xdr:cNvSpPr>
      </xdr:nvSpPr>
      <xdr:spPr bwMode="auto">
        <a:xfrm>
          <a:off x="0" y="25155525"/>
          <a:ext cx="304800" cy="210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264" name="AutoShape 283" descr="+">
          <a:extLst>
            <a:ext uri="{FF2B5EF4-FFF2-40B4-BE49-F238E27FC236}">
              <a16:creationId xmlns:a16="http://schemas.microsoft.com/office/drawing/2014/main" id="{00000000-0008-0000-0A00-000008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265" name="AutoShape 284" descr="+">
          <a:extLst>
            <a:ext uri="{FF2B5EF4-FFF2-40B4-BE49-F238E27FC236}">
              <a16:creationId xmlns:a16="http://schemas.microsoft.com/office/drawing/2014/main" id="{00000000-0008-0000-0A00-000009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174233</xdr:rowOff>
    </xdr:to>
    <xdr:sp macro="" textlink="">
      <xdr:nvSpPr>
        <xdr:cNvPr id="266" name="AutoShape 285" descr="+">
          <a:extLst>
            <a:ext uri="{FF2B5EF4-FFF2-40B4-BE49-F238E27FC236}">
              <a16:creationId xmlns:a16="http://schemas.microsoft.com/office/drawing/2014/main" id="{00000000-0008-0000-0A00-00000A01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208241</xdr:rowOff>
    </xdr:to>
    <xdr:sp macro="" textlink="">
      <xdr:nvSpPr>
        <xdr:cNvPr id="267" name="AutoShape 286" descr="+">
          <a:extLst>
            <a:ext uri="{FF2B5EF4-FFF2-40B4-BE49-F238E27FC236}">
              <a16:creationId xmlns:a16="http://schemas.microsoft.com/office/drawing/2014/main" id="{00000000-0008-0000-0A00-00000B010000}"/>
            </a:ext>
          </a:extLst>
        </xdr:cNvPr>
        <xdr:cNvSpPr>
          <a:spLocks noChangeAspect="1" noChangeArrowheads="1"/>
        </xdr:cNvSpPr>
      </xdr:nvSpPr>
      <xdr:spPr bwMode="auto">
        <a:xfrm>
          <a:off x="0" y="25155525"/>
          <a:ext cx="304800" cy="2007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208244</xdr:rowOff>
    </xdr:to>
    <xdr:sp macro="" textlink="">
      <xdr:nvSpPr>
        <xdr:cNvPr id="268" name="AutoShape 287" descr="+">
          <a:extLst>
            <a:ext uri="{FF2B5EF4-FFF2-40B4-BE49-F238E27FC236}">
              <a16:creationId xmlns:a16="http://schemas.microsoft.com/office/drawing/2014/main" id="{00000000-0008-0000-0A00-00000C010000}"/>
            </a:ext>
          </a:extLst>
        </xdr:cNvPr>
        <xdr:cNvSpPr>
          <a:spLocks noChangeAspect="1" noChangeArrowheads="1"/>
        </xdr:cNvSpPr>
      </xdr:nvSpPr>
      <xdr:spPr bwMode="auto">
        <a:xfrm>
          <a:off x="0" y="25155525"/>
          <a:ext cx="304800" cy="2007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211644</xdr:rowOff>
    </xdr:to>
    <xdr:sp macro="" textlink="">
      <xdr:nvSpPr>
        <xdr:cNvPr id="269" name="AutoShape 288" descr="+">
          <a:extLst>
            <a:ext uri="{FF2B5EF4-FFF2-40B4-BE49-F238E27FC236}">
              <a16:creationId xmlns:a16="http://schemas.microsoft.com/office/drawing/2014/main" id="{00000000-0008-0000-0A00-00000D010000}"/>
            </a:ext>
          </a:extLst>
        </xdr:cNvPr>
        <xdr:cNvSpPr>
          <a:spLocks noChangeAspect="1" noChangeArrowheads="1"/>
        </xdr:cNvSpPr>
      </xdr:nvSpPr>
      <xdr:spPr bwMode="auto">
        <a:xfrm>
          <a:off x="0" y="25155525"/>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171647</xdr:rowOff>
    </xdr:to>
    <xdr:sp macro="" textlink="">
      <xdr:nvSpPr>
        <xdr:cNvPr id="270" name="AutoShape 289" descr="+">
          <a:extLst>
            <a:ext uri="{FF2B5EF4-FFF2-40B4-BE49-F238E27FC236}">
              <a16:creationId xmlns:a16="http://schemas.microsoft.com/office/drawing/2014/main" id="{00000000-0008-0000-0A00-00000E01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271" name="AutoShape 290" descr="+">
          <a:extLst>
            <a:ext uri="{FF2B5EF4-FFF2-40B4-BE49-F238E27FC236}">
              <a16:creationId xmlns:a16="http://schemas.microsoft.com/office/drawing/2014/main" id="{00000000-0008-0000-0A00-00000F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210428</xdr:rowOff>
    </xdr:to>
    <xdr:sp macro="" textlink="">
      <xdr:nvSpPr>
        <xdr:cNvPr id="272" name="AutoShape 291" descr="+">
          <a:extLst>
            <a:ext uri="{FF2B5EF4-FFF2-40B4-BE49-F238E27FC236}">
              <a16:creationId xmlns:a16="http://schemas.microsoft.com/office/drawing/2014/main" id="{00000000-0008-0000-0A00-00001001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273" name="AutoShape 292" descr="+">
          <a:extLst>
            <a:ext uri="{FF2B5EF4-FFF2-40B4-BE49-F238E27FC236}">
              <a16:creationId xmlns:a16="http://schemas.microsoft.com/office/drawing/2014/main" id="{00000000-0008-0000-0A00-000011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210426</xdr:rowOff>
    </xdr:to>
    <xdr:sp macro="" textlink="">
      <xdr:nvSpPr>
        <xdr:cNvPr id="274" name="AutoShape 293" descr="+">
          <a:extLst>
            <a:ext uri="{FF2B5EF4-FFF2-40B4-BE49-F238E27FC236}">
              <a16:creationId xmlns:a16="http://schemas.microsoft.com/office/drawing/2014/main" id="{00000000-0008-0000-0A00-00001201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275" name="AutoShape 294" descr="+">
          <a:extLst>
            <a:ext uri="{FF2B5EF4-FFF2-40B4-BE49-F238E27FC236}">
              <a16:creationId xmlns:a16="http://schemas.microsoft.com/office/drawing/2014/main" id="{00000000-0008-0000-0A00-000013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320236</xdr:rowOff>
    </xdr:to>
    <xdr:sp macro="" textlink="">
      <xdr:nvSpPr>
        <xdr:cNvPr id="276" name="AutoShape 295" descr="+">
          <a:extLst>
            <a:ext uri="{FF2B5EF4-FFF2-40B4-BE49-F238E27FC236}">
              <a16:creationId xmlns:a16="http://schemas.microsoft.com/office/drawing/2014/main" id="{00000000-0008-0000-0A00-000014010000}"/>
            </a:ext>
          </a:extLst>
        </xdr:cNvPr>
        <xdr:cNvSpPr>
          <a:spLocks noChangeAspect="1" noChangeArrowheads="1"/>
        </xdr:cNvSpPr>
      </xdr:nvSpPr>
      <xdr:spPr bwMode="auto">
        <a:xfrm>
          <a:off x="0" y="25155525"/>
          <a:ext cx="304800" cy="3050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174235</xdr:rowOff>
    </xdr:to>
    <xdr:sp macro="" textlink="">
      <xdr:nvSpPr>
        <xdr:cNvPr id="277" name="AutoShape 296" descr="+">
          <a:extLst>
            <a:ext uri="{FF2B5EF4-FFF2-40B4-BE49-F238E27FC236}">
              <a16:creationId xmlns:a16="http://schemas.microsoft.com/office/drawing/2014/main" id="{00000000-0008-0000-0A00-00001501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321635</xdr:rowOff>
    </xdr:to>
    <xdr:sp macro="" textlink="">
      <xdr:nvSpPr>
        <xdr:cNvPr id="278" name="AutoShape 297" descr="+">
          <a:extLst>
            <a:ext uri="{FF2B5EF4-FFF2-40B4-BE49-F238E27FC236}">
              <a16:creationId xmlns:a16="http://schemas.microsoft.com/office/drawing/2014/main" id="{00000000-0008-0000-0A00-000016010000}"/>
            </a:ext>
          </a:extLst>
        </xdr:cNvPr>
        <xdr:cNvSpPr>
          <a:spLocks noChangeAspect="1" noChangeArrowheads="1"/>
        </xdr:cNvSpPr>
      </xdr:nvSpPr>
      <xdr:spPr bwMode="auto">
        <a:xfrm>
          <a:off x="0" y="25155525"/>
          <a:ext cx="304800" cy="30647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84</xdr:row>
      <xdr:rowOff>0</xdr:rowOff>
    </xdr:from>
    <xdr:to>
      <xdr:col>1</xdr:col>
      <xdr:colOff>304800</xdr:colOff>
      <xdr:row>84</xdr:row>
      <xdr:rowOff>210429</xdr:rowOff>
    </xdr:to>
    <xdr:sp macro="" textlink="">
      <xdr:nvSpPr>
        <xdr:cNvPr id="279" name="AutoShape 298" descr="+">
          <a:extLst>
            <a:ext uri="{FF2B5EF4-FFF2-40B4-BE49-F238E27FC236}">
              <a16:creationId xmlns:a16="http://schemas.microsoft.com/office/drawing/2014/main" id="{00000000-0008-0000-0A00-000017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84</xdr:row>
      <xdr:rowOff>0</xdr:rowOff>
    </xdr:from>
    <xdr:ext cx="304800" cy="166687"/>
    <xdr:sp macro="" textlink="">
      <xdr:nvSpPr>
        <xdr:cNvPr id="282" name="AutoShape 80" descr="+">
          <a:extLst>
            <a:ext uri="{FF2B5EF4-FFF2-40B4-BE49-F238E27FC236}">
              <a16:creationId xmlns:a16="http://schemas.microsoft.com/office/drawing/2014/main" id="{00000000-0008-0000-0A00-00001A010000}"/>
            </a:ext>
          </a:extLst>
        </xdr:cNvPr>
        <xdr:cNvSpPr>
          <a:spLocks noChangeAspect="1" noChangeArrowheads="1"/>
        </xdr:cNvSpPr>
      </xdr:nvSpPr>
      <xdr:spPr bwMode="auto">
        <a:xfrm>
          <a:off x="0" y="217169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1496786</xdr:colOff>
      <xdr:row>84</xdr:row>
      <xdr:rowOff>0</xdr:rowOff>
    </xdr:from>
    <xdr:ext cx="304800" cy="166687"/>
    <xdr:sp macro="" textlink="">
      <xdr:nvSpPr>
        <xdr:cNvPr id="283" name="AutoShape 80" descr="+">
          <a:extLst>
            <a:ext uri="{FF2B5EF4-FFF2-40B4-BE49-F238E27FC236}">
              <a16:creationId xmlns:a16="http://schemas.microsoft.com/office/drawing/2014/main" id="{00000000-0008-0000-0A00-00001B010000}"/>
            </a:ext>
          </a:extLst>
        </xdr:cNvPr>
        <xdr:cNvSpPr>
          <a:spLocks noChangeAspect="1" noChangeArrowheads="1"/>
        </xdr:cNvSpPr>
      </xdr:nvSpPr>
      <xdr:spPr bwMode="auto">
        <a:xfrm>
          <a:off x="1496786" y="219074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153745</xdr:colOff>
      <xdr:row>30</xdr:row>
      <xdr:rowOff>110492</xdr:rowOff>
    </xdr:from>
    <xdr:to>
      <xdr:col>3</xdr:col>
      <xdr:colOff>1774546</xdr:colOff>
      <xdr:row>48</xdr:row>
      <xdr:rowOff>133350</xdr:rowOff>
    </xdr:to>
    <xdr:pic>
      <xdr:nvPicPr>
        <xdr:cNvPr id="289" name="Picture 288">
          <a:extLst>
            <a:ext uri="{FF2B5EF4-FFF2-40B4-BE49-F238E27FC236}">
              <a16:creationId xmlns:a16="http://schemas.microsoft.com/office/drawing/2014/main" id="{00000000-0008-0000-0A00-000021010000}"/>
            </a:ext>
          </a:extLst>
        </xdr:cNvPr>
        <xdr:cNvPicPr>
          <a:picLocks noChangeAspect="1"/>
        </xdr:cNvPicPr>
      </xdr:nvPicPr>
      <xdr:blipFill rotWithShape="1">
        <a:blip xmlns:r="http://schemas.openxmlformats.org/officeDocument/2006/relationships" r:embed="rId1"/>
        <a:srcRect l="1609" t="6734" r="1851" b="2920"/>
        <a:stretch/>
      </xdr:blipFill>
      <xdr:spPr>
        <a:xfrm>
          <a:off x="153745" y="7187567"/>
          <a:ext cx="8217816" cy="3590923"/>
        </a:xfrm>
        <a:prstGeom prst="rect">
          <a:avLst/>
        </a:prstGeom>
        <a:ln>
          <a:solidFill>
            <a:schemeClr val="tx1"/>
          </a:solidFill>
        </a:ln>
      </xdr:spPr>
    </xdr:pic>
    <xdr:clientData/>
  </xdr:twoCellAnchor>
  <xdr:twoCellAnchor editAs="oneCell">
    <xdr:from>
      <xdr:col>3</xdr:col>
      <xdr:colOff>1543181</xdr:colOff>
      <xdr:row>86</xdr:row>
      <xdr:rowOff>94125</xdr:rowOff>
    </xdr:from>
    <xdr:to>
      <xdr:col>6</xdr:col>
      <xdr:colOff>670220</xdr:colOff>
      <xdr:row>86</xdr:row>
      <xdr:rowOff>3294397</xdr:rowOff>
    </xdr:to>
    <xdr:pic>
      <xdr:nvPicPr>
        <xdr:cNvPr id="295" name="Picture 294">
          <a:extLst>
            <a:ext uri="{FF2B5EF4-FFF2-40B4-BE49-F238E27FC236}">
              <a16:creationId xmlns:a16="http://schemas.microsoft.com/office/drawing/2014/main" id="{00000000-0008-0000-0A00-000027010000}"/>
            </a:ext>
          </a:extLst>
        </xdr:cNvPr>
        <xdr:cNvPicPr>
          <a:picLocks noChangeAspect="1"/>
        </xdr:cNvPicPr>
      </xdr:nvPicPr>
      <xdr:blipFill>
        <a:blip xmlns:r="http://schemas.openxmlformats.org/officeDocument/2006/relationships" r:embed="rId2"/>
        <a:stretch>
          <a:fillRect/>
        </a:stretch>
      </xdr:blipFill>
      <xdr:spPr>
        <a:xfrm>
          <a:off x="7965752" y="18028339"/>
          <a:ext cx="3662028" cy="3196462"/>
        </a:xfrm>
        <a:prstGeom prst="rect">
          <a:avLst/>
        </a:prstGeom>
        <a:ln>
          <a:solidFill>
            <a:schemeClr val="tx1"/>
          </a:solidFill>
        </a:ln>
      </xdr:spPr>
    </xdr:pic>
    <xdr:clientData/>
  </xdr:twoCellAnchor>
  <xdr:twoCellAnchor editAs="oneCell">
    <xdr:from>
      <xdr:col>1</xdr:col>
      <xdr:colOff>22676</xdr:colOff>
      <xdr:row>86</xdr:row>
      <xdr:rowOff>87246</xdr:rowOff>
    </xdr:from>
    <xdr:to>
      <xdr:col>3</xdr:col>
      <xdr:colOff>1275711</xdr:colOff>
      <xdr:row>86</xdr:row>
      <xdr:rowOff>4171479</xdr:rowOff>
    </xdr:to>
    <xdr:pic>
      <xdr:nvPicPr>
        <xdr:cNvPr id="287" name="Picture 286">
          <a:extLst>
            <a:ext uri="{FF2B5EF4-FFF2-40B4-BE49-F238E27FC236}">
              <a16:creationId xmlns:a16="http://schemas.microsoft.com/office/drawing/2014/main" id="{00000000-0008-0000-0A00-00001F010000}"/>
            </a:ext>
          </a:extLst>
        </xdr:cNvPr>
        <xdr:cNvPicPr>
          <a:picLocks noChangeAspect="1"/>
        </xdr:cNvPicPr>
      </xdr:nvPicPr>
      <xdr:blipFill>
        <a:blip xmlns:r="http://schemas.openxmlformats.org/officeDocument/2006/relationships" r:embed="rId3"/>
        <a:stretch>
          <a:fillRect/>
        </a:stretch>
      </xdr:blipFill>
      <xdr:spPr>
        <a:xfrm>
          <a:off x="199569" y="26308210"/>
          <a:ext cx="7500618" cy="4097568"/>
        </a:xfrm>
        <a:prstGeom prst="rect">
          <a:avLst/>
        </a:prstGeom>
        <a:ln>
          <a:solidFill>
            <a:schemeClr val="tx1"/>
          </a:solidFill>
        </a:ln>
      </xdr:spPr>
    </xdr:pic>
    <xdr:clientData/>
  </xdr:twoCellAnchor>
  <xdr:twoCellAnchor editAs="oneCell">
    <xdr:from>
      <xdr:col>5</xdr:col>
      <xdr:colOff>161925</xdr:colOff>
      <xdr:row>0</xdr:row>
      <xdr:rowOff>123825</xdr:rowOff>
    </xdr:from>
    <xdr:to>
      <xdr:col>7</xdr:col>
      <xdr:colOff>630262</xdr:colOff>
      <xdr:row>5</xdr:row>
      <xdr:rowOff>173570</xdr:rowOff>
    </xdr:to>
    <xdr:pic>
      <xdr:nvPicPr>
        <xdr:cNvPr id="286" name="Picture 285">
          <a:extLst>
            <a:ext uri="{FF2B5EF4-FFF2-40B4-BE49-F238E27FC236}">
              <a16:creationId xmlns:a16="http://schemas.microsoft.com/office/drawing/2014/main" id="{C16DBA83-387E-47C2-93E5-FF1283285CC0}"/>
            </a:ext>
          </a:extLst>
        </xdr:cNvPr>
        <xdr:cNvPicPr>
          <a:picLocks noChangeAspect="1"/>
        </xdr:cNvPicPr>
      </xdr:nvPicPr>
      <xdr:blipFill>
        <a:blip xmlns:r="http://schemas.openxmlformats.org/officeDocument/2006/relationships" r:embed="rId4"/>
        <a:stretch>
          <a:fillRect/>
        </a:stretch>
      </xdr:blipFill>
      <xdr:spPr>
        <a:xfrm>
          <a:off x="9820275" y="123825"/>
          <a:ext cx="2702902" cy="10746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304800</xdr:colOff>
      <xdr:row>13</xdr:row>
      <xdr:rowOff>171731</xdr:rowOff>
    </xdr:to>
    <xdr:sp macro="" textlink="">
      <xdr:nvSpPr>
        <xdr:cNvPr id="2" name="AutoShape 4" descr="+">
          <a:extLst>
            <a:ext uri="{FF2B5EF4-FFF2-40B4-BE49-F238E27FC236}">
              <a16:creationId xmlns:a16="http://schemas.microsoft.com/office/drawing/2014/main" id="{E89FC88B-F8F8-41C3-98C5-A601E70507F6}"/>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3" name="AutoShape 5" descr="+">
          <a:extLst>
            <a:ext uri="{FF2B5EF4-FFF2-40B4-BE49-F238E27FC236}">
              <a16:creationId xmlns:a16="http://schemas.microsoft.com/office/drawing/2014/main" id="{1FFC1D42-4D10-4E7D-8BDA-F1E2C4193D4E}"/>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201707</xdr:rowOff>
    </xdr:to>
    <xdr:sp macro="" textlink="">
      <xdr:nvSpPr>
        <xdr:cNvPr id="4" name="AutoShape 6" descr="+">
          <a:extLst>
            <a:ext uri="{FF2B5EF4-FFF2-40B4-BE49-F238E27FC236}">
              <a16:creationId xmlns:a16="http://schemas.microsoft.com/office/drawing/2014/main" id="{6590FBCB-85DA-4A14-8CD1-F011B55B961D}"/>
            </a:ext>
          </a:extLst>
        </xdr:cNvPr>
        <xdr:cNvSpPr>
          <a:spLocks noChangeAspect="1" noChangeArrowheads="1"/>
        </xdr:cNvSpPr>
      </xdr:nvSpPr>
      <xdr:spPr bwMode="auto">
        <a:xfrm>
          <a:off x="1885950" y="1436370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174665</xdr:rowOff>
    </xdr:to>
    <xdr:sp macro="" textlink="">
      <xdr:nvSpPr>
        <xdr:cNvPr id="5" name="AutoShape 7" descr="+">
          <a:extLst>
            <a:ext uri="{FF2B5EF4-FFF2-40B4-BE49-F238E27FC236}">
              <a16:creationId xmlns:a16="http://schemas.microsoft.com/office/drawing/2014/main" id="{6F242B36-76DD-407E-A4A3-1254282746B2}"/>
            </a:ext>
          </a:extLst>
        </xdr:cNvPr>
        <xdr:cNvSpPr>
          <a:spLocks noChangeAspect="1" noChangeArrowheads="1"/>
        </xdr:cNvSpPr>
      </xdr:nvSpPr>
      <xdr:spPr bwMode="auto">
        <a:xfrm>
          <a:off x="1885950" y="14363700"/>
          <a:ext cx="304800" cy="1746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201708</xdr:rowOff>
    </xdr:to>
    <xdr:sp macro="" textlink="">
      <xdr:nvSpPr>
        <xdr:cNvPr id="6" name="AutoShape 8" descr="+">
          <a:extLst>
            <a:ext uri="{FF2B5EF4-FFF2-40B4-BE49-F238E27FC236}">
              <a16:creationId xmlns:a16="http://schemas.microsoft.com/office/drawing/2014/main" id="{6976DA58-2725-4341-9BFA-107E15715283}"/>
            </a:ext>
          </a:extLst>
        </xdr:cNvPr>
        <xdr:cNvSpPr>
          <a:spLocks noChangeAspect="1" noChangeArrowheads="1"/>
        </xdr:cNvSpPr>
      </xdr:nvSpPr>
      <xdr:spPr bwMode="auto">
        <a:xfrm>
          <a:off x="1885950" y="14363700"/>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201705</xdr:rowOff>
    </xdr:to>
    <xdr:sp macro="" textlink="">
      <xdr:nvSpPr>
        <xdr:cNvPr id="7" name="AutoShape 9" descr="+">
          <a:extLst>
            <a:ext uri="{FF2B5EF4-FFF2-40B4-BE49-F238E27FC236}">
              <a16:creationId xmlns:a16="http://schemas.microsoft.com/office/drawing/2014/main" id="{10442C02-7D88-4D1D-8891-715BAA3FDBD3}"/>
            </a:ext>
          </a:extLst>
        </xdr:cNvPr>
        <xdr:cNvSpPr>
          <a:spLocks noChangeAspect="1" noChangeArrowheads="1"/>
        </xdr:cNvSpPr>
      </xdr:nvSpPr>
      <xdr:spPr bwMode="auto">
        <a:xfrm>
          <a:off x="1885950" y="14363700"/>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201708</xdr:rowOff>
    </xdr:to>
    <xdr:sp macro="" textlink="">
      <xdr:nvSpPr>
        <xdr:cNvPr id="8" name="AutoShape 10" descr="+">
          <a:extLst>
            <a:ext uri="{FF2B5EF4-FFF2-40B4-BE49-F238E27FC236}">
              <a16:creationId xmlns:a16="http://schemas.microsoft.com/office/drawing/2014/main" id="{E63E7CAC-0DDE-427B-8995-F69A0E6D6DE0}"/>
            </a:ext>
          </a:extLst>
        </xdr:cNvPr>
        <xdr:cNvSpPr>
          <a:spLocks noChangeAspect="1" noChangeArrowheads="1"/>
        </xdr:cNvSpPr>
      </xdr:nvSpPr>
      <xdr:spPr bwMode="auto">
        <a:xfrm>
          <a:off x="1885950" y="14363700"/>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192180</xdr:rowOff>
    </xdr:to>
    <xdr:sp macro="" textlink="">
      <xdr:nvSpPr>
        <xdr:cNvPr id="9" name="AutoShape 11" descr="+">
          <a:extLst>
            <a:ext uri="{FF2B5EF4-FFF2-40B4-BE49-F238E27FC236}">
              <a16:creationId xmlns:a16="http://schemas.microsoft.com/office/drawing/2014/main" id="{69EDDA06-A4BA-46DA-825D-B577082B8A74}"/>
            </a:ext>
          </a:extLst>
        </xdr:cNvPr>
        <xdr:cNvSpPr>
          <a:spLocks noChangeAspect="1" noChangeArrowheads="1"/>
        </xdr:cNvSpPr>
      </xdr:nvSpPr>
      <xdr:spPr bwMode="auto">
        <a:xfrm>
          <a:off x="1885950" y="14363700"/>
          <a:ext cx="304800" cy="192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63068</xdr:rowOff>
    </xdr:to>
    <xdr:sp macro="" textlink="">
      <xdr:nvSpPr>
        <xdr:cNvPr id="10" name="AutoShape 12" descr="+">
          <a:extLst>
            <a:ext uri="{FF2B5EF4-FFF2-40B4-BE49-F238E27FC236}">
              <a16:creationId xmlns:a16="http://schemas.microsoft.com/office/drawing/2014/main" id="{B60E5FAB-AF82-4BF2-89B2-8D3620501E2C}"/>
            </a:ext>
          </a:extLst>
        </xdr:cNvPr>
        <xdr:cNvSpPr>
          <a:spLocks noChangeAspect="1" noChangeArrowheads="1"/>
        </xdr:cNvSpPr>
      </xdr:nvSpPr>
      <xdr:spPr bwMode="auto">
        <a:xfrm>
          <a:off x="1885950" y="14363700"/>
          <a:ext cx="304800" cy="2705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173131</xdr:rowOff>
    </xdr:to>
    <xdr:sp macro="" textlink="">
      <xdr:nvSpPr>
        <xdr:cNvPr id="11" name="AutoShape 13" descr="+">
          <a:extLst>
            <a:ext uri="{FF2B5EF4-FFF2-40B4-BE49-F238E27FC236}">
              <a16:creationId xmlns:a16="http://schemas.microsoft.com/office/drawing/2014/main" id="{8B8AD967-5A44-46DF-A8DC-012610CCC3C5}"/>
            </a:ext>
          </a:extLst>
        </xdr:cNvPr>
        <xdr:cNvSpPr>
          <a:spLocks noChangeAspect="1" noChangeArrowheads="1"/>
        </xdr:cNvSpPr>
      </xdr:nvSpPr>
      <xdr:spPr bwMode="auto">
        <a:xfrm>
          <a:off x="1885950" y="14363700"/>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201708</xdr:rowOff>
    </xdr:to>
    <xdr:sp macro="" textlink="">
      <xdr:nvSpPr>
        <xdr:cNvPr id="12" name="AutoShape 14" descr="+">
          <a:extLst>
            <a:ext uri="{FF2B5EF4-FFF2-40B4-BE49-F238E27FC236}">
              <a16:creationId xmlns:a16="http://schemas.microsoft.com/office/drawing/2014/main" id="{D8FE2E4C-1019-486A-A13B-5657228A5E5F}"/>
            </a:ext>
          </a:extLst>
        </xdr:cNvPr>
        <xdr:cNvSpPr>
          <a:spLocks noChangeAspect="1" noChangeArrowheads="1"/>
        </xdr:cNvSpPr>
      </xdr:nvSpPr>
      <xdr:spPr bwMode="auto">
        <a:xfrm>
          <a:off x="1885950" y="14363700"/>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201705</xdr:rowOff>
    </xdr:to>
    <xdr:sp macro="" textlink="">
      <xdr:nvSpPr>
        <xdr:cNvPr id="13" name="AutoShape 15" descr="+">
          <a:extLst>
            <a:ext uri="{FF2B5EF4-FFF2-40B4-BE49-F238E27FC236}">
              <a16:creationId xmlns:a16="http://schemas.microsoft.com/office/drawing/2014/main" id="{F1AAA840-F1A6-48C9-A0DB-46ECA8F39D62}"/>
            </a:ext>
          </a:extLst>
        </xdr:cNvPr>
        <xdr:cNvSpPr>
          <a:spLocks noChangeAspect="1" noChangeArrowheads="1"/>
        </xdr:cNvSpPr>
      </xdr:nvSpPr>
      <xdr:spPr bwMode="auto">
        <a:xfrm>
          <a:off x="1885950" y="14363700"/>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191901</xdr:rowOff>
    </xdr:to>
    <xdr:sp macro="" textlink="">
      <xdr:nvSpPr>
        <xdr:cNvPr id="14" name="AutoShape 16" descr="+">
          <a:extLst>
            <a:ext uri="{FF2B5EF4-FFF2-40B4-BE49-F238E27FC236}">
              <a16:creationId xmlns:a16="http://schemas.microsoft.com/office/drawing/2014/main" id="{987CE4F6-6FEE-4E7A-A9C3-097B3337B69A}"/>
            </a:ext>
          </a:extLst>
        </xdr:cNvPr>
        <xdr:cNvSpPr>
          <a:spLocks noChangeAspect="1" noChangeArrowheads="1"/>
        </xdr:cNvSpPr>
      </xdr:nvSpPr>
      <xdr:spPr bwMode="auto">
        <a:xfrm>
          <a:off x="1885950" y="14363700"/>
          <a:ext cx="304800" cy="1919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178133</xdr:rowOff>
    </xdr:to>
    <xdr:sp macro="" textlink="">
      <xdr:nvSpPr>
        <xdr:cNvPr id="15" name="AutoShape 17" descr="+">
          <a:extLst>
            <a:ext uri="{FF2B5EF4-FFF2-40B4-BE49-F238E27FC236}">
              <a16:creationId xmlns:a16="http://schemas.microsoft.com/office/drawing/2014/main" id="{242A7CC9-1AE3-4395-AD21-5D7F1CAC3A6C}"/>
            </a:ext>
          </a:extLst>
        </xdr:cNvPr>
        <xdr:cNvSpPr>
          <a:spLocks noChangeAspect="1" noChangeArrowheads="1"/>
        </xdr:cNvSpPr>
      </xdr:nvSpPr>
      <xdr:spPr bwMode="auto">
        <a:xfrm>
          <a:off x="1885950" y="14363700"/>
          <a:ext cx="304800" cy="178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178135</xdr:rowOff>
    </xdr:to>
    <xdr:sp macro="" textlink="">
      <xdr:nvSpPr>
        <xdr:cNvPr id="16" name="AutoShape 18" descr="+">
          <a:extLst>
            <a:ext uri="{FF2B5EF4-FFF2-40B4-BE49-F238E27FC236}">
              <a16:creationId xmlns:a16="http://schemas.microsoft.com/office/drawing/2014/main" id="{7F1D2F72-1639-4027-983B-9B94D495367A}"/>
            </a:ext>
          </a:extLst>
        </xdr:cNvPr>
        <xdr:cNvSpPr>
          <a:spLocks noChangeAspect="1" noChangeArrowheads="1"/>
        </xdr:cNvSpPr>
      </xdr:nvSpPr>
      <xdr:spPr bwMode="auto">
        <a:xfrm>
          <a:off x="1885950" y="14363700"/>
          <a:ext cx="304800" cy="1781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179535</xdr:rowOff>
    </xdr:to>
    <xdr:sp macro="" textlink="">
      <xdr:nvSpPr>
        <xdr:cNvPr id="17" name="AutoShape 19" descr="+">
          <a:extLst>
            <a:ext uri="{FF2B5EF4-FFF2-40B4-BE49-F238E27FC236}">
              <a16:creationId xmlns:a16="http://schemas.microsoft.com/office/drawing/2014/main" id="{14928E8B-9FA4-4FC4-8500-628BA6FCA661}"/>
            </a:ext>
          </a:extLst>
        </xdr:cNvPr>
        <xdr:cNvSpPr>
          <a:spLocks noChangeAspect="1" noChangeArrowheads="1"/>
        </xdr:cNvSpPr>
      </xdr:nvSpPr>
      <xdr:spPr bwMode="auto">
        <a:xfrm>
          <a:off x="1885950" y="14363700"/>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178132</xdr:rowOff>
    </xdr:to>
    <xdr:sp macro="" textlink="">
      <xdr:nvSpPr>
        <xdr:cNvPr id="18" name="AutoShape 20" descr="+">
          <a:extLst>
            <a:ext uri="{FF2B5EF4-FFF2-40B4-BE49-F238E27FC236}">
              <a16:creationId xmlns:a16="http://schemas.microsoft.com/office/drawing/2014/main" id="{7D3442CC-483D-4515-9579-B1D947E48726}"/>
            </a:ext>
          </a:extLst>
        </xdr:cNvPr>
        <xdr:cNvSpPr>
          <a:spLocks noChangeAspect="1" noChangeArrowheads="1"/>
        </xdr:cNvSpPr>
      </xdr:nvSpPr>
      <xdr:spPr bwMode="auto">
        <a:xfrm>
          <a:off x="1885950" y="14363700"/>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1047</xdr:rowOff>
    </xdr:to>
    <xdr:sp macro="" textlink="">
      <xdr:nvSpPr>
        <xdr:cNvPr id="19" name="AutoShape 21" descr="+">
          <a:extLst>
            <a:ext uri="{FF2B5EF4-FFF2-40B4-BE49-F238E27FC236}">
              <a16:creationId xmlns:a16="http://schemas.microsoft.com/office/drawing/2014/main" id="{3A0865C0-D992-4574-B3EC-6E7D1CE59D9C}"/>
            </a:ext>
          </a:extLst>
        </xdr:cNvPr>
        <xdr:cNvSpPr>
          <a:spLocks noChangeAspect="1" noChangeArrowheads="1"/>
        </xdr:cNvSpPr>
      </xdr:nvSpPr>
      <xdr:spPr bwMode="auto">
        <a:xfrm>
          <a:off x="1885950" y="14363700"/>
          <a:ext cx="304800" cy="2081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1042</xdr:rowOff>
    </xdr:to>
    <xdr:sp macro="" textlink="">
      <xdr:nvSpPr>
        <xdr:cNvPr id="20" name="AutoShape 22" descr="+">
          <a:extLst>
            <a:ext uri="{FF2B5EF4-FFF2-40B4-BE49-F238E27FC236}">
              <a16:creationId xmlns:a16="http://schemas.microsoft.com/office/drawing/2014/main" id="{27006FE0-9A1A-4E4D-BECB-21ED0C402645}"/>
            </a:ext>
          </a:extLst>
        </xdr:cNvPr>
        <xdr:cNvSpPr>
          <a:spLocks noChangeAspect="1" noChangeArrowheads="1"/>
        </xdr:cNvSpPr>
      </xdr:nvSpPr>
      <xdr:spPr bwMode="auto">
        <a:xfrm>
          <a:off x="1885950" y="14363700"/>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1046</xdr:rowOff>
    </xdr:to>
    <xdr:sp macro="" textlink="">
      <xdr:nvSpPr>
        <xdr:cNvPr id="21" name="AutoShape 23" descr="+">
          <a:extLst>
            <a:ext uri="{FF2B5EF4-FFF2-40B4-BE49-F238E27FC236}">
              <a16:creationId xmlns:a16="http://schemas.microsoft.com/office/drawing/2014/main" id="{5BD341AE-D930-4A99-918F-CFCB8923192B}"/>
            </a:ext>
          </a:extLst>
        </xdr:cNvPr>
        <xdr:cNvSpPr>
          <a:spLocks noChangeAspect="1" noChangeArrowheads="1"/>
        </xdr:cNvSpPr>
      </xdr:nvSpPr>
      <xdr:spPr bwMode="auto">
        <a:xfrm>
          <a:off x="1885950" y="14363700"/>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198584</xdr:rowOff>
    </xdr:to>
    <xdr:sp macro="" textlink="">
      <xdr:nvSpPr>
        <xdr:cNvPr id="22" name="AutoShape 24" descr="+">
          <a:extLst>
            <a:ext uri="{FF2B5EF4-FFF2-40B4-BE49-F238E27FC236}">
              <a16:creationId xmlns:a16="http://schemas.microsoft.com/office/drawing/2014/main" id="{E91071EA-88F3-4DB1-9BB2-4CB2CE6948DA}"/>
            </a:ext>
          </a:extLst>
        </xdr:cNvPr>
        <xdr:cNvSpPr>
          <a:spLocks noChangeAspect="1" noChangeArrowheads="1"/>
        </xdr:cNvSpPr>
      </xdr:nvSpPr>
      <xdr:spPr bwMode="auto">
        <a:xfrm>
          <a:off x="1885950" y="14363700"/>
          <a:ext cx="304800" cy="1985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1045</xdr:rowOff>
    </xdr:to>
    <xdr:sp macro="" textlink="">
      <xdr:nvSpPr>
        <xdr:cNvPr id="23" name="AutoShape 25" descr="+">
          <a:extLst>
            <a:ext uri="{FF2B5EF4-FFF2-40B4-BE49-F238E27FC236}">
              <a16:creationId xmlns:a16="http://schemas.microsoft.com/office/drawing/2014/main" id="{44280ABD-540B-41B5-B623-1885A59AEB4E}"/>
            </a:ext>
          </a:extLst>
        </xdr:cNvPr>
        <xdr:cNvSpPr>
          <a:spLocks noChangeAspect="1" noChangeArrowheads="1"/>
        </xdr:cNvSpPr>
      </xdr:nvSpPr>
      <xdr:spPr bwMode="auto">
        <a:xfrm>
          <a:off x="1885950" y="14363700"/>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1045</xdr:rowOff>
    </xdr:to>
    <xdr:sp macro="" textlink="">
      <xdr:nvSpPr>
        <xdr:cNvPr id="24" name="AutoShape 26" descr="+">
          <a:extLst>
            <a:ext uri="{FF2B5EF4-FFF2-40B4-BE49-F238E27FC236}">
              <a16:creationId xmlns:a16="http://schemas.microsoft.com/office/drawing/2014/main" id="{4852A9A8-E8FA-4BCB-BC75-1DE7D9C5E5AA}"/>
            </a:ext>
          </a:extLst>
        </xdr:cNvPr>
        <xdr:cNvSpPr>
          <a:spLocks noChangeAspect="1" noChangeArrowheads="1"/>
        </xdr:cNvSpPr>
      </xdr:nvSpPr>
      <xdr:spPr bwMode="auto">
        <a:xfrm>
          <a:off x="1885950" y="14363700"/>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179535</xdr:rowOff>
    </xdr:to>
    <xdr:sp macro="" textlink="">
      <xdr:nvSpPr>
        <xdr:cNvPr id="25" name="AutoShape 27" descr="+">
          <a:extLst>
            <a:ext uri="{FF2B5EF4-FFF2-40B4-BE49-F238E27FC236}">
              <a16:creationId xmlns:a16="http://schemas.microsoft.com/office/drawing/2014/main" id="{E71E3287-F79A-479D-AC7E-848E5262B873}"/>
            </a:ext>
          </a:extLst>
        </xdr:cNvPr>
        <xdr:cNvSpPr>
          <a:spLocks noChangeAspect="1" noChangeArrowheads="1"/>
        </xdr:cNvSpPr>
      </xdr:nvSpPr>
      <xdr:spPr bwMode="auto">
        <a:xfrm>
          <a:off x="1885950" y="14363700"/>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1042</xdr:rowOff>
    </xdr:to>
    <xdr:sp macro="" textlink="">
      <xdr:nvSpPr>
        <xdr:cNvPr id="26" name="AutoShape 28" descr="+">
          <a:extLst>
            <a:ext uri="{FF2B5EF4-FFF2-40B4-BE49-F238E27FC236}">
              <a16:creationId xmlns:a16="http://schemas.microsoft.com/office/drawing/2014/main" id="{E31ACFD5-2961-44ED-89F2-E0A847AC9E57}"/>
            </a:ext>
          </a:extLst>
        </xdr:cNvPr>
        <xdr:cNvSpPr>
          <a:spLocks noChangeAspect="1" noChangeArrowheads="1"/>
        </xdr:cNvSpPr>
      </xdr:nvSpPr>
      <xdr:spPr bwMode="auto">
        <a:xfrm>
          <a:off x="1885950" y="14363700"/>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201711</xdr:rowOff>
    </xdr:to>
    <xdr:sp macro="" textlink="">
      <xdr:nvSpPr>
        <xdr:cNvPr id="27" name="AutoShape 29" descr="+">
          <a:extLst>
            <a:ext uri="{FF2B5EF4-FFF2-40B4-BE49-F238E27FC236}">
              <a16:creationId xmlns:a16="http://schemas.microsoft.com/office/drawing/2014/main" id="{8DC87171-7D8E-4292-8E92-58E60FC3D946}"/>
            </a:ext>
          </a:extLst>
        </xdr:cNvPr>
        <xdr:cNvSpPr>
          <a:spLocks noChangeAspect="1" noChangeArrowheads="1"/>
        </xdr:cNvSpPr>
      </xdr:nvSpPr>
      <xdr:spPr bwMode="auto">
        <a:xfrm>
          <a:off x="1885950" y="14363700"/>
          <a:ext cx="304800" cy="2017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8" name="AutoShape 30" descr="+">
          <a:extLst>
            <a:ext uri="{FF2B5EF4-FFF2-40B4-BE49-F238E27FC236}">
              <a16:creationId xmlns:a16="http://schemas.microsoft.com/office/drawing/2014/main" id="{4BD79909-3F48-4C14-873F-39FEFD1DCC84}"/>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9" name="AutoShape 31" descr="+">
          <a:extLst>
            <a:ext uri="{FF2B5EF4-FFF2-40B4-BE49-F238E27FC236}">
              <a16:creationId xmlns:a16="http://schemas.microsoft.com/office/drawing/2014/main" id="{577BDA07-3F26-4A5E-8F30-F5D3F9853AA8}"/>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30" name="AutoShape 32" descr="+">
          <a:extLst>
            <a:ext uri="{FF2B5EF4-FFF2-40B4-BE49-F238E27FC236}">
              <a16:creationId xmlns:a16="http://schemas.microsoft.com/office/drawing/2014/main" id="{CA07E0B1-15B2-4D3F-9F69-5426AA0EA79F}"/>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203088</xdr:rowOff>
    </xdr:to>
    <xdr:sp macro="" textlink="">
      <xdr:nvSpPr>
        <xdr:cNvPr id="31" name="AutoShape 33" descr="+">
          <a:extLst>
            <a:ext uri="{FF2B5EF4-FFF2-40B4-BE49-F238E27FC236}">
              <a16:creationId xmlns:a16="http://schemas.microsoft.com/office/drawing/2014/main" id="{B7443396-6BFF-4902-9750-98A11BF3CE57}"/>
            </a:ext>
          </a:extLst>
        </xdr:cNvPr>
        <xdr:cNvSpPr>
          <a:spLocks noChangeAspect="1" noChangeArrowheads="1"/>
        </xdr:cNvSpPr>
      </xdr:nvSpPr>
      <xdr:spPr bwMode="auto">
        <a:xfrm>
          <a:off x="1885950" y="14363700"/>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32" name="AutoShape 34" descr="+">
          <a:extLst>
            <a:ext uri="{FF2B5EF4-FFF2-40B4-BE49-F238E27FC236}">
              <a16:creationId xmlns:a16="http://schemas.microsoft.com/office/drawing/2014/main" id="{3AFFF92B-4DF2-48A3-A91B-43AED162D1A8}"/>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33" name="AutoShape 52" descr="+">
          <a:extLst>
            <a:ext uri="{FF2B5EF4-FFF2-40B4-BE49-F238E27FC236}">
              <a16:creationId xmlns:a16="http://schemas.microsoft.com/office/drawing/2014/main" id="{8A9736D1-9ED8-47AC-B3D9-877E52592C8A}"/>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34" name="AutoShape 53" descr="+">
          <a:extLst>
            <a:ext uri="{FF2B5EF4-FFF2-40B4-BE49-F238E27FC236}">
              <a16:creationId xmlns:a16="http://schemas.microsoft.com/office/drawing/2014/main" id="{B6B7D4B8-C804-4C95-8EE3-33BD3393C7DA}"/>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186698</xdr:rowOff>
    </xdr:to>
    <xdr:sp macro="" textlink="">
      <xdr:nvSpPr>
        <xdr:cNvPr id="35" name="AutoShape 54" descr="+">
          <a:extLst>
            <a:ext uri="{FF2B5EF4-FFF2-40B4-BE49-F238E27FC236}">
              <a16:creationId xmlns:a16="http://schemas.microsoft.com/office/drawing/2014/main" id="{550CB27C-AE21-43B4-9162-7D16376BF340}"/>
            </a:ext>
          </a:extLst>
        </xdr:cNvPr>
        <xdr:cNvSpPr>
          <a:spLocks noChangeAspect="1" noChangeArrowheads="1"/>
        </xdr:cNvSpPr>
      </xdr:nvSpPr>
      <xdr:spPr bwMode="auto">
        <a:xfrm>
          <a:off x="1885950" y="14363700"/>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36" name="AutoShape 55" descr="+">
          <a:extLst>
            <a:ext uri="{FF2B5EF4-FFF2-40B4-BE49-F238E27FC236}">
              <a16:creationId xmlns:a16="http://schemas.microsoft.com/office/drawing/2014/main" id="{6A6F3EBF-D796-4C4A-AF5E-DB7B464652A2}"/>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37" name="AutoShape 56" descr="+">
          <a:extLst>
            <a:ext uri="{FF2B5EF4-FFF2-40B4-BE49-F238E27FC236}">
              <a16:creationId xmlns:a16="http://schemas.microsoft.com/office/drawing/2014/main" id="{07D26AE2-C46F-4110-B99F-96495B958146}"/>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38" name="AutoShape 57" descr="+">
          <a:extLst>
            <a:ext uri="{FF2B5EF4-FFF2-40B4-BE49-F238E27FC236}">
              <a16:creationId xmlns:a16="http://schemas.microsoft.com/office/drawing/2014/main" id="{A4A26077-5DF2-493D-8475-614CDC3AC729}"/>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39" name="AutoShape 58" descr="+">
          <a:extLst>
            <a:ext uri="{FF2B5EF4-FFF2-40B4-BE49-F238E27FC236}">
              <a16:creationId xmlns:a16="http://schemas.microsoft.com/office/drawing/2014/main" id="{610B62E7-7050-4D08-AE39-A804A89D0795}"/>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97321</xdr:rowOff>
    </xdr:to>
    <xdr:sp macro="" textlink="">
      <xdr:nvSpPr>
        <xdr:cNvPr id="40" name="AutoShape 59" descr="+">
          <a:extLst>
            <a:ext uri="{FF2B5EF4-FFF2-40B4-BE49-F238E27FC236}">
              <a16:creationId xmlns:a16="http://schemas.microsoft.com/office/drawing/2014/main" id="{62E5D632-2D34-491B-9542-8D35DB4FE3E2}"/>
            </a:ext>
          </a:extLst>
        </xdr:cNvPr>
        <xdr:cNvSpPr>
          <a:spLocks noChangeAspect="1" noChangeArrowheads="1"/>
        </xdr:cNvSpPr>
      </xdr:nvSpPr>
      <xdr:spPr bwMode="auto">
        <a:xfrm>
          <a:off x="1885950" y="143637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181937</xdr:rowOff>
    </xdr:to>
    <xdr:sp macro="" textlink="">
      <xdr:nvSpPr>
        <xdr:cNvPr id="41" name="AutoShape 60" descr="+">
          <a:extLst>
            <a:ext uri="{FF2B5EF4-FFF2-40B4-BE49-F238E27FC236}">
              <a16:creationId xmlns:a16="http://schemas.microsoft.com/office/drawing/2014/main" id="{E73CFF92-5053-4C1F-8780-415B4263D001}"/>
            </a:ext>
          </a:extLst>
        </xdr:cNvPr>
        <xdr:cNvSpPr>
          <a:spLocks noChangeAspect="1" noChangeArrowheads="1"/>
        </xdr:cNvSpPr>
      </xdr:nvSpPr>
      <xdr:spPr bwMode="auto">
        <a:xfrm>
          <a:off x="1885950" y="14363700"/>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42" name="AutoShape 61" descr="+">
          <a:extLst>
            <a:ext uri="{FF2B5EF4-FFF2-40B4-BE49-F238E27FC236}">
              <a16:creationId xmlns:a16="http://schemas.microsoft.com/office/drawing/2014/main" id="{6B988E75-0F6D-46F9-9954-3BA095A10DBC}"/>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43" name="AutoShape 62" descr="+">
          <a:extLst>
            <a:ext uri="{FF2B5EF4-FFF2-40B4-BE49-F238E27FC236}">
              <a16:creationId xmlns:a16="http://schemas.microsoft.com/office/drawing/2014/main" id="{3A9B0D94-D8EC-4331-A5BE-21CE7E6DE521}"/>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44" name="AutoShape 63" descr="+">
          <a:extLst>
            <a:ext uri="{FF2B5EF4-FFF2-40B4-BE49-F238E27FC236}">
              <a16:creationId xmlns:a16="http://schemas.microsoft.com/office/drawing/2014/main" id="{4C163604-534D-478C-ACB1-75591D2B5E72}"/>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45" name="AutoShape 64" descr="+">
          <a:extLst>
            <a:ext uri="{FF2B5EF4-FFF2-40B4-BE49-F238E27FC236}">
              <a16:creationId xmlns:a16="http://schemas.microsoft.com/office/drawing/2014/main" id="{A6AA9AE4-4180-462F-B809-EC07A6ABF78D}"/>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186696</xdr:rowOff>
    </xdr:to>
    <xdr:sp macro="" textlink="">
      <xdr:nvSpPr>
        <xdr:cNvPr id="46" name="AutoShape 65" descr="+">
          <a:extLst>
            <a:ext uri="{FF2B5EF4-FFF2-40B4-BE49-F238E27FC236}">
              <a16:creationId xmlns:a16="http://schemas.microsoft.com/office/drawing/2014/main" id="{6C4128C3-25AC-45F2-8F13-4154B722FCEB}"/>
            </a:ext>
          </a:extLst>
        </xdr:cNvPr>
        <xdr:cNvSpPr>
          <a:spLocks noChangeAspect="1" noChangeArrowheads="1"/>
        </xdr:cNvSpPr>
      </xdr:nvSpPr>
      <xdr:spPr bwMode="auto">
        <a:xfrm>
          <a:off x="1885950" y="14363700"/>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47" name="AutoShape 66" descr="+">
          <a:extLst>
            <a:ext uri="{FF2B5EF4-FFF2-40B4-BE49-F238E27FC236}">
              <a16:creationId xmlns:a16="http://schemas.microsoft.com/office/drawing/2014/main" id="{A2FAC018-EC78-469A-9C75-68B906CB0EE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204108</xdr:rowOff>
    </xdr:to>
    <xdr:sp macro="" textlink="">
      <xdr:nvSpPr>
        <xdr:cNvPr id="48" name="AutoShape 67" descr="+">
          <a:extLst>
            <a:ext uri="{FF2B5EF4-FFF2-40B4-BE49-F238E27FC236}">
              <a16:creationId xmlns:a16="http://schemas.microsoft.com/office/drawing/2014/main" id="{FEB62ED2-E271-4106-BC06-7A90B5C697E6}"/>
            </a:ext>
          </a:extLst>
        </xdr:cNvPr>
        <xdr:cNvSpPr>
          <a:spLocks noChangeAspect="1" noChangeArrowheads="1"/>
        </xdr:cNvSpPr>
      </xdr:nvSpPr>
      <xdr:spPr bwMode="auto">
        <a:xfrm>
          <a:off x="1885950" y="14363700"/>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204108</xdr:rowOff>
    </xdr:to>
    <xdr:sp macro="" textlink="">
      <xdr:nvSpPr>
        <xdr:cNvPr id="49" name="AutoShape 68" descr="+">
          <a:extLst>
            <a:ext uri="{FF2B5EF4-FFF2-40B4-BE49-F238E27FC236}">
              <a16:creationId xmlns:a16="http://schemas.microsoft.com/office/drawing/2014/main" id="{D0D408C5-9DB9-4C20-A4A5-F492DB0982DF}"/>
            </a:ext>
          </a:extLst>
        </xdr:cNvPr>
        <xdr:cNvSpPr>
          <a:spLocks noChangeAspect="1" noChangeArrowheads="1"/>
        </xdr:cNvSpPr>
      </xdr:nvSpPr>
      <xdr:spPr bwMode="auto">
        <a:xfrm>
          <a:off x="1885950" y="14363700"/>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50" name="AutoShape 69" descr="+">
          <a:extLst>
            <a:ext uri="{FF2B5EF4-FFF2-40B4-BE49-F238E27FC236}">
              <a16:creationId xmlns:a16="http://schemas.microsoft.com/office/drawing/2014/main" id="{145D941D-B0BF-4567-B72D-64D343D2ABF8}"/>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51" name="AutoShape 70" descr="+">
          <a:extLst>
            <a:ext uri="{FF2B5EF4-FFF2-40B4-BE49-F238E27FC236}">
              <a16:creationId xmlns:a16="http://schemas.microsoft.com/office/drawing/2014/main" id="{1F576CBF-6A22-42BB-9423-DFD03CE61E6D}"/>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171732</xdr:rowOff>
    </xdr:to>
    <xdr:sp macro="" textlink="">
      <xdr:nvSpPr>
        <xdr:cNvPr id="52" name="AutoShape 71" descr="+">
          <a:extLst>
            <a:ext uri="{FF2B5EF4-FFF2-40B4-BE49-F238E27FC236}">
              <a16:creationId xmlns:a16="http://schemas.microsoft.com/office/drawing/2014/main" id="{2106AA29-2DB3-476B-8D3C-1BFD1E45297D}"/>
            </a:ext>
          </a:extLst>
        </xdr:cNvPr>
        <xdr:cNvSpPr>
          <a:spLocks noChangeAspect="1" noChangeArrowheads="1"/>
        </xdr:cNvSpPr>
      </xdr:nvSpPr>
      <xdr:spPr bwMode="auto">
        <a:xfrm>
          <a:off x="1885950" y="14363700"/>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53" name="AutoShape 72" descr="+">
          <a:extLst>
            <a:ext uri="{FF2B5EF4-FFF2-40B4-BE49-F238E27FC236}">
              <a16:creationId xmlns:a16="http://schemas.microsoft.com/office/drawing/2014/main" id="{8D5C1B1A-0061-41DE-A15E-BDD4DDF8EC9B}"/>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54" name="AutoShape 73" descr="+">
          <a:extLst>
            <a:ext uri="{FF2B5EF4-FFF2-40B4-BE49-F238E27FC236}">
              <a16:creationId xmlns:a16="http://schemas.microsoft.com/office/drawing/2014/main" id="{9C58F9C3-3F43-4E90-AF12-DCFCB4988ACA}"/>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55" name="AutoShape 74" descr="+">
          <a:extLst>
            <a:ext uri="{FF2B5EF4-FFF2-40B4-BE49-F238E27FC236}">
              <a16:creationId xmlns:a16="http://schemas.microsoft.com/office/drawing/2014/main" id="{0CE38376-733D-4B4C-A6E8-854E786A4B38}"/>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56" name="AutoShape 75" descr="+">
          <a:extLst>
            <a:ext uri="{FF2B5EF4-FFF2-40B4-BE49-F238E27FC236}">
              <a16:creationId xmlns:a16="http://schemas.microsoft.com/office/drawing/2014/main" id="{8CDC6B48-1A90-4AF1-A073-5C59FC2185FA}"/>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57" name="AutoShape 76" descr="+">
          <a:extLst>
            <a:ext uri="{FF2B5EF4-FFF2-40B4-BE49-F238E27FC236}">
              <a16:creationId xmlns:a16="http://schemas.microsoft.com/office/drawing/2014/main" id="{615F1AC2-0C49-42C7-858D-3654EADB1ADE}"/>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58" name="AutoShape 77" descr="+">
          <a:extLst>
            <a:ext uri="{FF2B5EF4-FFF2-40B4-BE49-F238E27FC236}">
              <a16:creationId xmlns:a16="http://schemas.microsoft.com/office/drawing/2014/main" id="{DEB40677-0332-4895-B593-EDE313FAE3B0}"/>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59" name="AutoShape 78" descr="+">
          <a:extLst>
            <a:ext uri="{FF2B5EF4-FFF2-40B4-BE49-F238E27FC236}">
              <a16:creationId xmlns:a16="http://schemas.microsoft.com/office/drawing/2014/main" id="{256E8FAF-0D52-4CFD-A8CE-0B1DB68C699C}"/>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166689</xdr:rowOff>
    </xdr:to>
    <xdr:sp macro="" textlink="">
      <xdr:nvSpPr>
        <xdr:cNvPr id="60" name="AutoShape 79" descr="+">
          <a:extLst>
            <a:ext uri="{FF2B5EF4-FFF2-40B4-BE49-F238E27FC236}">
              <a16:creationId xmlns:a16="http://schemas.microsoft.com/office/drawing/2014/main" id="{6F11FEA2-561B-4914-A3D9-F1A33A9A9F3B}"/>
            </a:ext>
          </a:extLst>
        </xdr:cNvPr>
        <xdr:cNvSpPr>
          <a:spLocks noChangeAspect="1" noChangeArrowheads="1"/>
        </xdr:cNvSpPr>
      </xdr:nvSpPr>
      <xdr:spPr bwMode="auto">
        <a:xfrm>
          <a:off x="1885950" y="14363700"/>
          <a:ext cx="304800" cy="1666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166688</xdr:rowOff>
    </xdr:to>
    <xdr:sp macro="" textlink="">
      <xdr:nvSpPr>
        <xdr:cNvPr id="61" name="AutoShape 80" descr="+">
          <a:extLst>
            <a:ext uri="{FF2B5EF4-FFF2-40B4-BE49-F238E27FC236}">
              <a16:creationId xmlns:a16="http://schemas.microsoft.com/office/drawing/2014/main" id="{6D62FCF9-E67B-44B5-BC49-44F60F713F01}"/>
            </a:ext>
          </a:extLst>
        </xdr:cNvPr>
        <xdr:cNvSpPr>
          <a:spLocks noChangeAspect="1" noChangeArrowheads="1"/>
        </xdr:cNvSpPr>
      </xdr:nvSpPr>
      <xdr:spPr bwMode="auto">
        <a:xfrm>
          <a:off x="1885950" y="1436370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181655</xdr:rowOff>
    </xdr:to>
    <xdr:sp macro="" textlink="">
      <xdr:nvSpPr>
        <xdr:cNvPr id="62" name="AutoShape 81" descr="+">
          <a:extLst>
            <a:ext uri="{FF2B5EF4-FFF2-40B4-BE49-F238E27FC236}">
              <a16:creationId xmlns:a16="http://schemas.microsoft.com/office/drawing/2014/main" id="{5FB90AE6-534C-442B-BC74-D6A96ECB564A}"/>
            </a:ext>
          </a:extLst>
        </xdr:cNvPr>
        <xdr:cNvSpPr>
          <a:spLocks noChangeAspect="1" noChangeArrowheads="1"/>
        </xdr:cNvSpPr>
      </xdr:nvSpPr>
      <xdr:spPr bwMode="auto">
        <a:xfrm>
          <a:off x="1885950" y="14363700"/>
          <a:ext cx="304800" cy="18165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166688</xdr:rowOff>
    </xdr:to>
    <xdr:sp macro="" textlink="">
      <xdr:nvSpPr>
        <xdr:cNvPr id="63" name="AutoShape 82" descr="+">
          <a:extLst>
            <a:ext uri="{FF2B5EF4-FFF2-40B4-BE49-F238E27FC236}">
              <a16:creationId xmlns:a16="http://schemas.microsoft.com/office/drawing/2014/main" id="{F0A5D013-F14F-4865-8DAD-5B57EA22177B}"/>
            </a:ext>
          </a:extLst>
        </xdr:cNvPr>
        <xdr:cNvSpPr>
          <a:spLocks noChangeAspect="1" noChangeArrowheads="1"/>
        </xdr:cNvSpPr>
      </xdr:nvSpPr>
      <xdr:spPr bwMode="auto">
        <a:xfrm>
          <a:off x="1885950" y="1436370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205471</xdr:rowOff>
    </xdr:to>
    <xdr:sp macro="" textlink="">
      <xdr:nvSpPr>
        <xdr:cNvPr id="64" name="AutoShape 83" descr="+">
          <a:extLst>
            <a:ext uri="{FF2B5EF4-FFF2-40B4-BE49-F238E27FC236}">
              <a16:creationId xmlns:a16="http://schemas.microsoft.com/office/drawing/2014/main" id="{813F5F14-B6C9-40F2-98DD-CBAC27A6E2B1}"/>
            </a:ext>
          </a:extLst>
        </xdr:cNvPr>
        <xdr:cNvSpPr>
          <a:spLocks noChangeAspect="1" noChangeArrowheads="1"/>
        </xdr:cNvSpPr>
      </xdr:nvSpPr>
      <xdr:spPr bwMode="auto">
        <a:xfrm>
          <a:off x="1885950" y="14363700"/>
          <a:ext cx="304800" cy="2054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205469</xdr:rowOff>
    </xdr:to>
    <xdr:sp macro="" textlink="">
      <xdr:nvSpPr>
        <xdr:cNvPr id="65" name="AutoShape 84" descr="+">
          <a:extLst>
            <a:ext uri="{FF2B5EF4-FFF2-40B4-BE49-F238E27FC236}">
              <a16:creationId xmlns:a16="http://schemas.microsoft.com/office/drawing/2014/main" id="{695C37B5-CCBC-4AB7-8E1C-7DCB01E76CFF}"/>
            </a:ext>
          </a:extLst>
        </xdr:cNvPr>
        <xdr:cNvSpPr>
          <a:spLocks noChangeAspect="1" noChangeArrowheads="1"/>
        </xdr:cNvSpPr>
      </xdr:nvSpPr>
      <xdr:spPr bwMode="auto">
        <a:xfrm>
          <a:off x="1885950" y="1436370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205468</xdr:rowOff>
    </xdr:to>
    <xdr:sp macro="" textlink="">
      <xdr:nvSpPr>
        <xdr:cNvPr id="66" name="AutoShape 85" descr="+">
          <a:extLst>
            <a:ext uri="{FF2B5EF4-FFF2-40B4-BE49-F238E27FC236}">
              <a16:creationId xmlns:a16="http://schemas.microsoft.com/office/drawing/2014/main" id="{43BA8705-3977-4EF8-B2DF-58E2C2020316}"/>
            </a:ext>
          </a:extLst>
        </xdr:cNvPr>
        <xdr:cNvSpPr>
          <a:spLocks noChangeAspect="1" noChangeArrowheads="1"/>
        </xdr:cNvSpPr>
      </xdr:nvSpPr>
      <xdr:spPr bwMode="auto">
        <a:xfrm>
          <a:off x="1885950" y="1436370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166688</xdr:rowOff>
    </xdr:to>
    <xdr:sp macro="" textlink="">
      <xdr:nvSpPr>
        <xdr:cNvPr id="67" name="AutoShape 86" descr="+">
          <a:extLst>
            <a:ext uri="{FF2B5EF4-FFF2-40B4-BE49-F238E27FC236}">
              <a16:creationId xmlns:a16="http://schemas.microsoft.com/office/drawing/2014/main" id="{639D772C-FD2C-4956-A0F8-2555BC40FB46}"/>
            </a:ext>
          </a:extLst>
        </xdr:cNvPr>
        <xdr:cNvSpPr>
          <a:spLocks noChangeAspect="1" noChangeArrowheads="1"/>
        </xdr:cNvSpPr>
      </xdr:nvSpPr>
      <xdr:spPr bwMode="auto">
        <a:xfrm>
          <a:off x="1885950" y="1436370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205469</xdr:rowOff>
    </xdr:to>
    <xdr:sp macro="" textlink="">
      <xdr:nvSpPr>
        <xdr:cNvPr id="68" name="AutoShape 87" descr="+">
          <a:extLst>
            <a:ext uri="{FF2B5EF4-FFF2-40B4-BE49-F238E27FC236}">
              <a16:creationId xmlns:a16="http://schemas.microsoft.com/office/drawing/2014/main" id="{5CCD5579-01A0-4D56-94C2-52787AA341BA}"/>
            </a:ext>
          </a:extLst>
        </xdr:cNvPr>
        <xdr:cNvSpPr>
          <a:spLocks noChangeAspect="1" noChangeArrowheads="1"/>
        </xdr:cNvSpPr>
      </xdr:nvSpPr>
      <xdr:spPr bwMode="auto">
        <a:xfrm>
          <a:off x="1885950" y="1436370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205469</xdr:rowOff>
    </xdr:to>
    <xdr:sp macro="" textlink="">
      <xdr:nvSpPr>
        <xdr:cNvPr id="69" name="AutoShape 88" descr="+">
          <a:extLst>
            <a:ext uri="{FF2B5EF4-FFF2-40B4-BE49-F238E27FC236}">
              <a16:creationId xmlns:a16="http://schemas.microsoft.com/office/drawing/2014/main" id="{CAF88623-5FB9-41CA-BEC5-6C0EFA47ED26}"/>
            </a:ext>
          </a:extLst>
        </xdr:cNvPr>
        <xdr:cNvSpPr>
          <a:spLocks noChangeAspect="1" noChangeArrowheads="1"/>
        </xdr:cNvSpPr>
      </xdr:nvSpPr>
      <xdr:spPr bwMode="auto">
        <a:xfrm>
          <a:off x="1885950" y="1436370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205470</xdr:rowOff>
    </xdr:to>
    <xdr:sp macro="" textlink="">
      <xdr:nvSpPr>
        <xdr:cNvPr id="70" name="AutoShape 89" descr="+">
          <a:extLst>
            <a:ext uri="{FF2B5EF4-FFF2-40B4-BE49-F238E27FC236}">
              <a16:creationId xmlns:a16="http://schemas.microsoft.com/office/drawing/2014/main" id="{D5F26573-C7A4-4767-A9F5-95C9D459BF69}"/>
            </a:ext>
          </a:extLst>
        </xdr:cNvPr>
        <xdr:cNvSpPr>
          <a:spLocks noChangeAspect="1" noChangeArrowheads="1"/>
        </xdr:cNvSpPr>
      </xdr:nvSpPr>
      <xdr:spPr bwMode="auto">
        <a:xfrm>
          <a:off x="1885950" y="1436370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205467</xdr:rowOff>
    </xdr:to>
    <xdr:sp macro="" textlink="">
      <xdr:nvSpPr>
        <xdr:cNvPr id="71" name="AutoShape 90" descr="+">
          <a:extLst>
            <a:ext uri="{FF2B5EF4-FFF2-40B4-BE49-F238E27FC236}">
              <a16:creationId xmlns:a16="http://schemas.microsoft.com/office/drawing/2014/main" id="{5EC7D220-11C8-4437-9DC3-AD84045B8E13}"/>
            </a:ext>
          </a:extLst>
        </xdr:cNvPr>
        <xdr:cNvSpPr>
          <a:spLocks noChangeAspect="1" noChangeArrowheads="1"/>
        </xdr:cNvSpPr>
      </xdr:nvSpPr>
      <xdr:spPr bwMode="auto">
        <a:xfrm>
          <a:off x="1885950" y="14363700"/>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99564</xdr:rowOff>
    </xdr:to>
    <xdr:sp macro="" textlink="">
      <xdr:nvSpPr>
        <xdr:cNvPr id="72" name="AutoShape 91" descr="+">
          <a:extLst>
            <a:ext uri="{FF2B5EF4-FFF2-40B4-BE49-F238E27FC236}">
              <a16:creationId xmlns:a16="http://schemas.microsoft.com/office/drawing/2014/main" id="{1474C7AC-A40F-4425-8462-318BEA990D3B}"/>
            </a:ext>
          </a:extLst>
        </xdr:cNvPr>
        <xdr:cNvSpPr>
          <a:spLocks noChangeAspect="1" noChangeArrowheads="1"/>
        </xdr:cNvSpPr>
      </xdr:nvSpPr>
      <xdr:spPr bwMode="auto">
        <a:xfrm>
          <a:off x="1885950" y="14363700"/>
          <a:ext cx="304800" cy="3070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171450</xdr:rowOff>
    </xdr:to>
    <xdr:sp macro="" textlink="">
      <xdr:nvSpPr>
        <xdr:cNvPr id="73" name="AutoShape 92" descr="+">
          <a:extLst>
            <a:ext uri="{FF2B5EF4-FFF2-40B4-BE49-F238E27FC236}">
              <a16:creationId xmlns:a16="http://schemas.microsoft.com/office/drawing/2014/main" id="{9B64FE00-95A1-40BC-A9C3-D4CD8CA6BB43}"/>
            </a:ext>
          </a:extLst>
        </xdr:cNvPr>
        <xdr:cNvSpPr>
          <a:spLocks noChangeAspect="1" noChangeArrowheads="1"/>
        </xdr:cNvSpPr>
      </xdr:nvSpPr>
      <xdr:spPr bwMode="auto">
        <a:xfrm>
          <a:off x="1885950" y="14363700"/>
          <a:ext cx="304800" cy="171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205470</xdr:rowOff>
    </xdr:to>
    <xdr:sp macro="" textlink="">
      <xdr:nvSpPr>
        <xdr:cNvPr id="74" name="AutoShape 93" descr="+">
          <a:extLst>
            <a:ext uri="{FF2B5EF4-FFF2-40B4-BE49-F238E27FC236}">
              <a16:creationId xmlns:a16="http://schemas.microsoft.com/office/drawing/2014/main" id="{47205499-6A7E-4091-8BA5-F16B1FDFD85F}"/>
            </a:ext>
          </a:extLst>
        </xdr:cNvPr>
        <xdr:cNvSpPr>
          <a:spLocks noChangeAspect="1" noChangeArrowheads="1"/>
        </xdr:cNvSpPr>
      </xdr:nvSpPr>
      <xdr:spPr bwMode="auto">
        <a:xfrm>
          <a:off x="1885950" y="1436370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205470</xdr:rowOff>
    </xdr:to>
    <xdr:sp macro="" textlink="">
      <xdr:nvSpPr>
        <xdr:cNvPr id="75" name="AutoShape 94" descr="+">
          <a:extLst>
            <a:ext uri="{FF2B5EF4-FFF2-40B4-BE49-F238E27FC236}">
              <a16:creationId xmlns:a16="http://schemas.microsoft.com/office/drawing/2014/main" id="{B88632A7-E43C-4142-AA36-4C7D0E652630}"/>
            </a:ext>
          </a:extLst>
        </xdr:cNvPr>
        <xdr:cNvSpPr>
          <a:spLocks noChangeAspect="1" noChangeArrowheads="1"/>
        </xdr:cNvSpPr>
      </xdr:nvSpPr>
      <xdr:spPr bwMode="auto">
        <a:xfrm>
          <a:off x="1885950" y="1436370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200708</xdr:rowOff>
    </xdr:to>
    <xdr:sp macro="" textlink="">
      <xdr:nvSpPr>
        <xdr:cNvPr id="76" name="AutoShape 95" descr="+">
          <a:extLst>
            <a:ext uri="{FF2B5EF4-FFF2-40B4-BE49-F238E27FC236}">
              <a16:creationId xmlns:a16="http://schemas.microsoft.com/office/drawing/2014/main" id="{477DD31E-463F-46A0-B547-8D24B1CBA610}"/>
            </a:ext>
          </a:extLst>
        </xdr:cNvPr>
        <xdr:cNvSpPr>
          <a:spLocks noChangeAspect="1" noChangeArrowheads="1"/>
        </xdr:cNvSpPr>
      </xdr:nvSpPr>
      <xdr:spPr bwMode="auto">
        <a:xfrm>
          <a:off x="1885950" y="14363700"/>
          <a:ext cx="304800" cy="200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77" name="AutoShape 96" descr="+">
          <a:extLst>
            <a:ext uri="{FF2B5EF4-FFF2-40B4-BE49-F238E27FC236}">
              <a16:creationId xmlns:a16="http://schemas.microsoft.com/office/drawing/2014/main" id="{484CBE30-4859-42C8-83D0-7639A65BAF8B}"/>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78" name="AutoShape 97" descr="+">
          <a:extLst>
            <a:ext uri="{FF2B5EF4-FFF2-40B4-BE49-F238E27FC236}">
              <a16:creationId xmlns:a16="http://schemas.microsoft.com/office/drawing/2014/main" id="{3E7F2058-EB55-493E-B433-1B2D028071C0}"/>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79" name="AutoShape 98" descr="+">
          <a:extLst>
            <a:ext uri="{FF2B5EF4-FFF2-40B4-BE49-F238E27FC236}">
              <a16:creationId xmlns:a16="http://schemas.microsoft.com/office/drawing/2014/main" id="{3FF7A4C5-290E-451E-8DA7-5AD6A721077A}"/>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80" name="AutoShape 99" descr="+">
          <a:extLst>
            <a:ext uri="{FF2B5EF4-FFF2-40B4-BE49-F238E27FC236}">
              <a16:creationId xmlns:a16="http://schemas.microsoft.com/office/drawing/2014/main" id="{22BB6A5B-03FF-4734-88ED-6A1605E36205}"/>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181936</xdr:rowOff>
    </xdr:to>
    <xdr:sp macro="" textlink="">
      <xdr:nvSpPr>
        <xdr:cNvPr id="81" name="AutoShape 100" descr="+">
          <a:extLst>
            <a:ext uri="{FF2B5EF4-FFF2-40B4-BE49-F238E27FC236}">
              <a16:creationId xmlns:a16="http://schemas.microsoft.com/office/drawing/2014/main" id="{0510FDA3-E318-482D-8843-4F8D0DA29655}"/>
            </a:ext>
          </a:extLst>
        </xdr:cNvPr>
        <xdr:cNvSpPr>
          <a:spLocks noChangeAspect="1" noChangeArrowheads="1"/>
        </xdr:cNvSpPr>
      </xdr:nvSpPr>
      <xdr:spPr bwMode="auto">
        <a:xfrm>
          <a:off x="1885950" y="1436370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82" name="AutoShape 101" descr="+">
          <a:extLst>
            <a:ext uri="{FF2B5EF4-FFF2-40B4-BE49-F238E27FC236}">
              <a16:creationId xmlns:a16="http://schemas.microsoft.com/office/drawing/2014/main" id="{DA21484C-670D-4309-A0DC-9421633955B3}"/>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83" name="AutoShape 102" descr="+">
          <a:extLst>
            <a:ext uri="{FF2B5EF4-FFF2-40B4-BE49-F238E27FC236}">
              <a16:creationId xmlns:a16="http://schemas.microsoft.com/office/drawing/2014/main" id="{8B1DDBE5-3867-4A65-A35E-BBEB9CDF7070}"/>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84" name="AutoShape 103" descr="+">
          <a:extLst>
            <a:ext uri="{FF2B5EF4-FFF2-40B4-BE49-F238E27FC236}">
              <a16:creationId xmlns:a16="http://schemas.microsoft.com/office/drawing/2014/main" id="{F38A855C-3EB7-42C6-B304-0DCA3AB3628D}"/>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85" name="AutoShape 104" descr="+">
          <a:extLst>
            <a:ext uri="{FF2B5EF4-FFF2-40B4-BE49-F238E27FC236}">
              <a16:creationId xmlns:a16="http://schemas.microsoft.com/office/drawing/2014/main" id="{D3DED53C-9742-4E28-99A5-A135887BA279}"/>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172133</xdr:rowOff>
    </xdr:to>
    <xdr:sp macro="" textlink="">
      <xdr:nvSpPr>
        <xdr:cNvPr id="86" name="AutoShape 105" descr="+">
          <a:extLst>
            <a:ext uri="{FF2B5EF4-FFF2-40B4-BE49-F238E27FC236}">
              <a16:creationId xmlns:a16="http://schemas.microsoft.com/office/drawing/2014/main" id="{2EA45A86-6A52-49A2-9959-CD27401E6534}"/>
            </a:ext>
          </a:extLst>
        </xdr:cNvPr>
        <xdr:cNvSpPr>
          <a:spLocks noChangeAspect="1" noChangeArrowheads="1"/>
        </xdr:cNvSpPr>
      </xdr:nvSpPr>
      <xdr:spPr bwMode="auto">
        <a:xfrm>
          <a:off x="1885950" y="14363700"/>
          <a:ext cx="304800" cy="172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200705</xdr:rowOff>
    </xdr:to>
    <xdr:sp macro="" textlink="">
      <xdr:nvSpPr>
        <xdr:cNvPr id="87" name="AutoShape 106" descr="+">
          <a:extLst>
            <a:ext uri="{FF2B5EF4-FFF2-40B4-BE49-F238E27FC236}">
              <a16:creationId xmlns:a16="http://schemas.microsoft.com/office/drawing/2014/main" id="{B2FD527F-5F0C-4D51-83D8-3E8AEDEF9BBA}"/>
            </a:ext>
          </a:extLst>
        </xdr:cNvPr>
        <xdr:cNvSpPr>
          <a:spLocks noChangeAspect="1" noChangeArrowheads="1"/>
        </xdr:cNvSpPr>
      </xdr:nvSpPr>
      <xdr:spPr bwMode="auto">
        <a:xfrm>
          <a:off x="1885950" y="14363700"/>
          <a:ext cx="304800" cy="2007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204110</xdr:rowOff>
    </xdr:to>
    <xdr:sp macro="" textlink="">
      <xdr:nvSpPr>
        <xdr:cNvPr id="88" name="AutoShape 107" descr="+">
          <a:extLst>
            <a:ext uri="{FF2B5EF4-FFF2-40B4-BE49-F238E27FC236}">
              <a16:creationId xmlns:a16="http://schemas.microsoft.com/office/drawing/2014/main" id="{BCCC54FE-986F-4D95-933C-BB3BDEBFBD33}"/>
            </a:ext>
          </a:extLst>
        </xdr:cNvPr>
        <xdr:cNvSpPr>
          <a:spLocks noChangeAspect="1" noChangeArrowheads="1"/>
        </xdr:cNvSpPr>
      </xdr:nvSpPr>
      <xdr:spPr bwMode="auto">
        <a:xfrm>
          <a:off x="1885950" y="14363700"/>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89" name="AutoShape 108" descr="+">
          <a:extLst>
            <a:ext uri="{FF2B5EF4-FFF2-40B4-BE49-F238E27FC236}">
              <a16:creationId xmlns:a16="http://schemas.microsoft.com/office/drawing/2014/main" id="{5ED33D49-91AC-44ED-846B-2D2FC4C082D2}"/>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90" name="AutoShape 109" descr="+">
          <a:extLst>
            <a:ext uri="{FF2B5EF4-FFF2-40B4-BE49-F238E27FC236}">
              <a16:creationId xmlns:a16="http://schemas.microsoft.com/office/drawing/2014/main" id="{48C6F3CA-AEA3-4BB2-8D31-ACA1F3F444A9}"/>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91" name="AutoShape 110" descr="+">
          <a:extLst>
            <a:ext uri="{FF2B5EF4-FFF2-40B4-BE49-F238E27FC236}">
              <a16:creationId xmlns:a16="http://schemas.microsoft.com/office/drawing/2014/main" id="{F8984E97-5190-4ACF-AAC5-C846113ADC3C}"/>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92" name="AutoShape 111" descr="+">
          <a:extLst>
            <a:ext uri="{FF2B5EF4-FFF2-40B4-BE49-F238E27FC236}">
              <a16:creationId xmlns:a16="http://schemas.microsoft.com/office/drawing/2014/main" id="{30CB829A-EE44-4F2D-8E9C-B221F877B52E}"/>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93" name="AutoShape 112" descr="+">
          <a:extLst>
            <a:ext uri="{FF2B5EF4-FFF2-40B4-BE49-F238E27FC236}">
              <a16:creationId xmlns:a16="http://schemas.microsoft.com/office/drawing/2014/main" id="{7DFEB1ED-20C3-44EC-9507-7E90E40E1122}"/>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191458</xdr:rowOff>
    </xdr:to>
    <xdr:sp macro="" textlink="">
      <xdr:nvSpPr>
        <xdr:cNvPr id="94" name="AutoShape 113" descr="+">
          <a:extLst>
            <a:ext uri="{FF2B5EF4-FFF2-40B4-BE49-F238E27FC236}">
              <a16:creationId xmlns:a16="http://schemas.microsoft.com/office/drawing/2014/main" id="{931B3F1B-E3B9-40DF-97A3-DF90D232DAA7}"/>
            </a:ext>
          </a:extLst>
        </xdr:cNvPr>
        <xdr:cNvSpPr>
          <a:spLocks noChangeAspect="1" noChangeArrowheads="1"/>
        </xdr:cNvSpPr>
      </xdr:nvSpPr>
      <xdr:spPr bwMode="auto">
        <a:xfrm>
          <a:off x="1885950" y="14363700"/>
          <a:ext cx="304800" cy="1914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95" name="AutoShape 114" descr="+">
          <a:extLst>
            <a:ext uri="{FF2B5EF4-FFF2-40B4-BE49-F238E27FC236}">
              <a16:creationId xmlns:a16="http://schemas.microsoft.com/office/drawing/2014/main" id="{82F66115-499D-473A-B663-69160405CD95}"/>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96" name="AutoShape 115" descr="+">
          <a:extLst>
            <a:ext uri="{FF2B5EF4-FFF2-40B4-BE49-F238E27FC236}">
              <a16:creationId xmlns:a16="http://schemas.microsoft.com/office/drawing/2014/main" id="{D9BFB521-100A-4939-BC21-F7B4D8AD34A9}"/>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97" name="AutoShape 116" descr="+">
          <a:extLst>
            <a:ext uri="{FF2B5EF4-FFF2-40B4-BE49-F238E27FC236}">
              <a16:creationId xmlns:a16="http://schemas.microsoft.com/office/drawing/2014/main" id="{9FF8B099-933D-4E80-AD39-77DD8752957E}"/>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98" name="AutoShape 117" descr="+">
          <a:extLst>
            <a:ext uri="{FF2B5EF4-FFF2-40B4-BE49-F238E27FC236}">
              <a16:creationId xmlns:a16="http://schemas.microsoft.com/office/drawing/2014/main" id="{7AB36D03-B7B9-4358-A30B-89DE41E95DC3}"/>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99" name="AutoShape 118" descr="+">
          <a:extLst>
            <a:ext uri="{FF2B5EF4-FFF2-40B4-BE49-F238E27FC236}">
              <a16:creationId xmlns:a16="http://schemas.microsoft.com/office/drawing/2014/main" id="{B0C99FEA-CFE8-43C4-BF3D-809ABB6E143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00" name="AutoShape 119" descr="+">
          <a:extLst>
            <a:ext uri="{FF2B5EF4-FFF2-40B4-BE49-F238E27FC236}">
              <a16:creationId xmlns:a16="http://schemas.microsoft.com/office/drawing/2014/main" id="{32F9AAF0-2175-4848-982A-C94350F42F06}"/>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01" name="AutoShape 120" descr="+">
          <a:extLst>
            <a:ext uri="{FF2B5EF4-FFF2-40B4-BE49-F238E27FC236}">
              <a16:creationId xmlns:a16="http://schemas.microsoft.com/office/drawing/2014/main" id="{A1DAB761-9958-4547-B40B-7F03DE6A3C8A}"/>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02" name="AutoShape 121" descr="+">
          <a:extLst>
            <a:ext uri="{FF2B5EF4-FFF2-40B4-BE49-F238E27FC236}">
              <a16:creationId xmlns:a16="http://schemas.microsoft.com/office/drawing/2014/main" id="{6CA4A6B5-F477-4E12-A0FF-22242E0C800D}"/>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103" name="AutoShape 122" descr="+">
          <a:extLst>
            <a:ext uri="{FF2B5EF4-FFF2-40B4-BE49-F238E27FC236}">
              <a16:creationId xmlns:a16="http://schemas.microsoft.com/office/drawing/2014/main" id="{0C447087-8298-4637-B729-9741464C1402}"/>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104" name="AutoShape 123" descr="+">
          <a:extLst>
            <a:ext uri="{FF2B5EF4-FFF2-40B4-BE49-F238E27FC236}">
              <a16:creationId xmlns:a16="http://schemas.microsoft.com/office/drawing/2014/main" id="{4C706908-4AD1-4946-B099-9A7C7F99D071}"/>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05" name="AutoShape 124" descr="+">
          <a:extLst>
            <a:ext uri="{FF2B5EF4-FFF2-40B4-BE49-F238E27FC236}">
              <a16:creationId xmlns:a16="http://schemas.microsoft.com/office/drawing/2014/main" id="{01A72F50-6616-474E-8401-77D63277BED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06" name="AutoShape 125" descr="+">
          <a:extLst>
            <a:ext uri="{FF2B5EF4-FFF2-40B4-BE49-F238E27FC236}">
              <a16:creationId xmlns:a16="http://schemas.microsoft.com/office/drawing/2014/main" id="{0FEA4761-6D29-4502-862A-D8F90E25BF2C}"/>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07" name="AutoShape 126" descr="+">
          <a:extLst>
            <a:ext uri="{FF2B5EF4-FFF2-40B4-BE49-F238E27FC236}">
              <a16:creationId xmlns:a16="http://schemas.microsoft.com/office/drawing/2014/main" id="{FB5CC868-A565-4C9E-A297-7CC63CADAE2A}"/>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203088</xdr:rowOff>
    </xdr:to>
    <xdr:sp macro="" textlink="">
      <xdr:nvSpPr>
        <xdr:cNvPr id="108" name="AutoShape 127" descr="+">
          <a:extLst>
            <a:ext uri="{FF2B5EF4-FFF2-40B4-BE49-F238E27FC236}">
              <a16:creationId xmlns:a16="http://schemas.microsoft.com/office/drawing/2014/main" id="{1C2EDDB9-192B-4891-B6BA-F8DE060DBBCC}"/>
            </a:ext>
          </a:extLst>
        </xdr:cNvPr>
        <xdr:cNvSpPr>
          <a:spLocks noChangeAspect="1" noChangeArrowheads="1"/>
        </xdr:cNvSpPr>
      </xdr:nvSpPr>
      <xdr:spPr bwMode="auto">
        <a:xfrm>
          <a:off x="1885950" y="14363700"/>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203089</xdr:rowOff>
    </xdr:to>
    <xdr:sp macro="" textlink="">
      <xdr:nvSpPr>
        <xdr:cNvPr id="109" name="AutoShape 128" descr="+">
          <a:extLst>
            <a:ext uri="{FF2B5EF4-FFF2-40B4-BE49-F238E27FC236}">
              <a16:creationId xmlns:a16="http://schemas.microsoft.com/office/drawing/2014/main" id="{67091BB2-E449-412E-992F-6F146A9253B7}"/>
            </a:ext>
          </a:extLst>
        </xdr:cNvPr>
        <xdr:cNvSpPr>
          <a:spLocks noChangeAspect="1" noChangeArrowheads="1"/>
        </xdr:cNvSpPr>
      </xdr:nvSpPr>
      <xdr:spPr bwMode="auto">
        <a:xfrm>
          <a:off x="1885950" y="14363700"/>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10" name="AutoShape 129" descr="+">
          <a:extLst>
            <a:ext uri="{FF2B5EF4-FFF2-40B4-BE49-F238E27FC236}">
              <a16:creationId xmlns:a16="http://schemas.microsoft.com/office/drawing/2014/main" id="{457B58EA-C45E-4B9C-B27B-F5B441FA43DB}"/>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11" name="AutoShape 130" descr="+">
          <a:extLst>
            <a:ext uri="{FF2B5EF4-FFF2-40B4-BE49-F238E27FC236}">
              <a16:creationId xmlns:a16="http://schemas.microsoft.com/office/drawing/2014/main" id="{5E23988C-6ADF-46A4-BAE8-D0818BA9B455}"/>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12" name="AutoShape 131" descr="+">
          <a:extLst>
            <a:ext uri="{FF2B5EF4-FFF2-40B4-BE49-F238E27FC236}">
              <a16:creationId xmlns:a16="http://schemas.microsoft.com/office/drawing/2014/main" id="{FC1F60BA-3283-45C7-AF60-606695FFAE0D}"/>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3" name="AutoShape 132" descr="+">
          <a:extLst>
            <a:ext uri="{FF2B5EF4-FFF2-40B4-BE49-F238E27FC236}">
              <a16:creationId xmlns:a16="http://schemas.microsoft.com/office/drawing/2014/main" id="{4278CC1F-FBC6-48C4-BF80-23FE31C5C50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4" name="AutoShape 133" descr="+">
          <a:extLst>
            <a:ext uri="{FF2B5EF4-FFF2-40B4-BE49-F238E27FC236}">
              <a16:creationId xmlns:a16="http://schemas.microsoft.com/office/drawing/2014/main" id="{D86B475E-3EF2-4989-BFBC-F6951544098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15" name="AutoShape 134" descr="+">
          <a:extLst>
            <a:ext uri="{FF2B5EF4-FFF2-40B4-BE49-F238E27FC236}">
              <a16:creationId xmlns:a16="http://schemas.microsoft.com/office/drawing/2014/main" id="{15C99F99-8771-4855-8C88-D957E9FA6B81}"/>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6" name="AutoShape 135" descr="+">
          <a:extLst>
            <a:ext uri="{FF2B5EF4-FFF2-40B4-BE49-F238E27FC236}">
              <a16:creationId xmlns:a16="http://schemas.microsoft.com/office/drawing/2014/main" id="{E6DEDB27-8295-4D3F-BC74-E41C98D67DE5}"/>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7" name="AutoShape 136" descr="+">
          <a:extLst>
            <a:ext uri="{FF2B5EF4-FFF2-40B4-BE49-F238E27FC236}">
              <a16:creationId xmlns:a16="http://schemas.microsoft.com/office/drawing/2014/main" id="{9B185CA9-9219-45B8-B2A0-CB9E3E21CDC9}"/>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18" name="AutoShape 137" descr="+">
          <a:extLst>
            <a:ext uri="{FF2B5EF4-FFF2-40B4-BE49-F238E27FC236}">
              <a16:creationId xmlns:a16="http://schemas.microsoft.com/office/drawing/2014/main" id="{B0B1C91D-55C8-4201-83D6-DBBFFE1EA7A2}"/>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9" name="AutoShape 138" descr="+">
          <a:extLst>
            <a:ext uri="{FF2B5EF4-FFF2-40B4-BE49-F238E27FC236}">
              <a16:creationId xmlns:a16="http://schemas.microsoft.com/office/drawing/2014/main" id="{F8065886-6A04-4F74-A982-3CB14809CB47}"/>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20" name="AutoShape 139" descr="+">
          <a:extLst>
            <a:ext uri="{FF2B5EF4-FFF2-40B4-BE49-F238E27FC236}">
              <a16:creationId xmlns:a16="http://schemas.microsoft.com/office/drawing/2014/main" id="{7BA04146-61DF-4C38-95A6-41D58AF3EC37}"/>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171732</xdr:rowOff>
    </xdr:to>
    <xdr:sp macro="" textlink="">
      <xdr:nvSpPr>
        <xdr:cNvPr id="121" name="AutoShape 140" descr="+">
          <a:extLst>
            <a:ext uri="{FF2B5EF4-FFF2-40B4-BE49-F238E27FC236}">
              <a16:creationId xmlns:a16="http://schemas.microsoft.com/office/drawing/2014/main" id="{D9D91792-214A-401F-9483-D022730C4270}"/>
            </a:ext>
          </a:extLst>
        </xdr:cNvPr>
        <xdr:cNvSpPr>
          <a:spLocks noChangeAspect="1" noChangeArrowheads="1"/>
        </xdr:cNvSpPr>
      </xdr:nvSpPr>
      <xdr:spPr bwMode="auto">
        <a:xfrm>
          <a:off x="1885950" y="14363700"/>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22" name="AutoShape 141" descr="+">
          <a:extLst>
            <a:ext uri="{FF2B5EF4-FFF2-40B4-BE49-F238E27FC236}">
              <a16:creationId xmlns:a16="http://schemas.microsoft.com/office/drawing/2014/main" id="{79079A7D-D795-40DB-96D3-7D89841D8CD1}"/>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23" name="AutoShape 142" descr="+">
          <a:extLst>
            <a:ext uri="{FF2B5EF4-FFF2-40B4-BE49-F238E27FC236}">
              <a16:creationId xmlns:a16="http://schemas.microsoft.com/office/drawing/2014/main" id="{FB65DF43-B678-4F90-94BB-3B911C54BF66}"/>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119850</xdr:rowOff>
    </xdr:to>
    <xdr:sp macro="" textlink="">
      <xdr:nvSpPr>
        <xdr:cNvPr id="124" name="AutoShape 143" descr="+">
          <a:extLst>
            <a:ext uri="{FF2B5EF4-FFF2-40B4-BE49-F238E27FC236}">
              <a16:creationId xmlns:a16="http://schemas.microsoft.com/office/drawing/2014/main" id="{BE9C61E7-1BDD-43D8-8A0B-A1C4FD439DE0}"/>
            </a:ext>
          </a:extLst>
        </xdr:cNvPr>
        <xdr:cNvSpPr>
          <a:spLocks noChangeAspect="1" noChangeArrowheads="1"/>
        </xdr:cNvSpPr>
      </xdr:nvSpPr>
      <xdr:spPr bwMode="auto">
        <a:xfrm>
          <a:off x="1885950" y="14363700"/>
          <a:ext cx="304800" cy="3273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25" name="AutoShape 144" descr="+">
          <a:extLst>
            <a:ext uri="{FF2B5EF4-FFF2-40B4-BE49-F238E27FC236}">
              <a16:creationId xmlns:a16="http://schemas.microsoft.com/office/drawing/2014/main" id="{BE10ED6A-F335-4E3F-A728-B70AA1D143D7}"/>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26" name="AutoShape 145" descr="+">
          <a:extLst>
            <a:ext uri="{FF2B5EF4-FFF2-40B4-BE49-F238E27FC236}">
              <a16:creationId xmlns:a16="http://schemas.microsoft.com/office/drawing/2014/main" id="{18D949BF-73FA-47F6-B81F-70DB10E2DF88}"/>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27" name="AutoShape 146" descr="+">
          <a:extLst>
            <a:ext uri="{FF2B5EF4-FFF2-40B4-BE49-F238E27FC236}">
              <a16:creationId xmlns:a16="http://schemas.microsoft.com/office/drawing/2014/main" id="{BBC5F53F-9287-4A86-B28E-300624F158B2}"/>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28" name="AutoShape 147" descr="+">
          <a:extLst>
            <a:ext uri="{FF2B5EF4-FFF2-40B4-BE49-F238E27FC236}">
              <a16:creationId xmlns:a16="http://schemas.microsoft.com/office/drawing/2014/main" id="{077FE62A-19E5-4D3B-9BF2-ECCFDD6613E0}"/>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181936</xdr:rowOff>
    </xdr:to>
    <xdr:sp macro="" textlink="">
      <xdr:nvSpPr>
        <xdr:cNvPr id="129" name="AutoShape 148" descr="+">
          <a:extLst>
            <a:ext uri="{FF2B5EF4-FFF2-40B4-BE49-F238E27FC236}">
              <a16:creationId xmlns:a16="http://schemas.microsoft.com/office/drawing/2014/main" id="{806E3BD3-C22B-41F3-9893-EADEC960A91E}"/>
            </a:ext>
          </a:extLst>
        </xdr:cNvPr>
        <xdr:cNvSpPr>
          <a:spLocks noChangeAspect="1" noChangeArrowheads="1"/>
        </xdr:cNvSpPr>
      </xdr:nvSpPr>
      <xdr:spPr bwMode="auto">
        <a:xfrm>
          <a:off x="1885950" y="1436370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191460</xdr:rowOff>
    </xdr:to>
    <xdr:sp macro="" textlink="">
      <xdr:nvSpPr>
        <xdr:cNvPr id="130" name="AutoShape 149" descr="+">
          <a:extLst>
            <a:ext uri="{FF2B5EF4-FFF2-40B4-BE49-F238E27FC236}">
              <a16:creationId xmlns:a16="http://schemas.microsoft.com/office/drawing/2014/main" id="{1F8DC56F-CDE3-442C-B813-0CDCB2E2FEC3}"/>
            </a:ext>
          </a:extLst>
        </xdr:cNvPr>
        <xdr:cNvSpPr>
          <a:spLocks noChangeAspect="1" noChangeArrowheads="1"/>
        </xdr:cNvSpPr>
      </xdr:nvSpPr>
      <xdr:spPr bwMode="auto">
        <a:xfrm>
          <a:off x="1885950" y="14363700"/>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31" name="AutoShape 150" descr="+">
          <a:extLst>
            <a:ext uri="{FF2B5EF4-FFF2-40B4-BE49-F238E27FC236}">
              <a16:creationId xmlns:a16="http://schemas.microsoft.com/office/drawing/2014/main" id="{B38B9ED3-CEA9-4AA3-8DB8-F61CDC77AB8C}"/>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32" name="AutoShape 151" descr="+">
          <a:extLst>
            <a:ext uri="{FF2B5EF4-FFF2-40B4-BE49-F238E27FC236}">
              <a16:creationId xmlns:a16="http://schemas.microsoft.com/office/drawing/2014/main" id="{83FFDA36-2214-4058-A641-7234E4959E13}"/>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33" name="AutoShape 152" descr="+">
          <a:extLst>
            <a:ext uri="{FF2B5EF4-FFF2-40B4-BE49-F238E27FC236}">
              <a16:creationId xmlns:a16="http://schemas.microsoft.com/office/drawing/2014/main" id="{47FE67D6-9620-477F-B183-649066F4494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97316</xdr:rowOff>
    </xdr:to>
    <xdr:sp macro="" textlink="">
      <xdr:nvSpPr>
        <xdr:cNvPr id="134" name="AutoShape 153" descr="+">
          <a:extLst>
            <a:ext uri="{FF2B5EF4-FFF2-40B4-BE49-F238E27FC236}">
              <a16:creationId xmlns:a16="http://schemas.microsoft.com/office/drawing/2014/main" id="{C750C15A-17DA-48B6-A138-9CD2F3616650}"/>
            </a:ext>
          </a:extLst>
        </xdr:cNvPr>
        <xdr:cNvSpPr>
          <a:spLocks noChangeAspect="1" noChangeArrowheads="1"/>
        </xdr:cNvSpPr>
      </xdr:nvSpPr>
      <xdr:spPr bwMode="auto">
        <a:xfrm>
          <a:off x="1885950" y="14363700"/>
          <a:ext cx="304800" cy="3047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172410</xdr:rowOff>
    </xdr:to>
    <xdr:sp macro="" textlink="">
      <xdr:nvSpPr>
        <xdr:cNvPr id="135" name="AutoShape 154" descr="+">
          <a:extLst>
            <a:ext uri="{FF2B5EF4-FFF2-40B4-BE49-F238E27FC236}">
              <a16:creationId xmlns:a16="http://schemas.microsoft.com/office/drawing/2014/main" id="{A9F3BE68-3173-4FC1-8218-F76EFEEEDB66}"/>
            </a:ext>
          </a:extLst>
        </xdr:cNvPr>
        <xdr:cNvSpPr>
          <a:spLocks noChangeAspect="1" noChangeArrowheads="1"/>
        </xdr:cNvSpPr>
      </xdr:nvSpPr>
      <xdr:spPr bwMode="auto">
        <a:xfrm>
          <a:off x="1885950" y="14363700"/>
          <a:ext cx="304800" cy="1724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36" name="AutoShape 155" descr="+">
          <a:extLst>
            <a:ext uri="{FF2B5EF4-FFF2-40B4-BE49-F238E27FC236}">
              <a16:creationId xmlns:a16="http://schemas.microsoft.com/office/drawing/2014/main" id="{CFE5E853-7D72-47CB-A1BD-71AD225CD7B5}"/>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204110</xdr:rowOff>
    </xdr:to>
    <xdr:sp macro="" textlink="">
      <xdr:nvSpPr>
        <xdr:cNvPr id="137" name="AutoShape 156" descr="+">
          <a:extLst>
            <a:ext uri="{FF2B5EF4-FFF2-40B4-BE49-F238E27FC236}">
              <a16:creationId xmlns:a16="http://schemas.microsoft.com/office/drawing/2014/main" id="{9C1E6FB4-6314-4E42-B0E4-C9B3521151D2}"/>
            </a:ext>
          </a:extLst>
        </xdr:cNvPr>
        <xdr:cNvSpPr>
          <a:spLocks noChangeAspect="1" noChangeArrowheads="1"/>
        </xdr:cNvSpPr>
      </xdr:nvSpPr>
      <xdr:spPr bwMode="auto">
        <a:xfrm>
          <a:off x="1885950" y="14363700"/>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204112</xdr:rowOff>
    </xdr:to>
    <xdr:sp macro="" textlink="">
      <xdr:nvSpPr>
        <xdr:cNvPr id="138" name="AutoShape 157" descr="+">
          <a:extLst>
            <a:ext uri="{FF2B5EF4-FFF2-40B4-BE49-F238E27FC236}">
              <a16:creationId xmlns:a16="http://schemas.microsoft.com/office/drawing/2014/main" id="{4E7F1852-8723-49F8-BA68-1EE539564E7A}"/>
            </a:ext>
          </a:extLst>
        </xdr:cNvPr>
        <xdr:cNvSpPr>
          <a:spLocks noChangeAspect="1" noChangeArrowheads="1"/>
        </xdr:cNvSpPr>
      </xdr:nvSpPr>
      <xdr:spPr bwMode="auto">
        <a:xfrm>
          <a:off x="1885950" y="14363700"/>
          <a:ext cx="304800" cy="2041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39" name="AutoShape 158" descr="+">
          <a:extLst>
            <a:ext uri="{FF2B5EF4-FFF2-40B4-BE49-F238E27FC236}">
              <a16:creationId xmlns:a16="http://schemas.microsoft.com/office/drawing/2014/main" id="{0A7F2371-EA6B-48E7-9525-22817FEDDC95}"/>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40" name="AutoShape 159" descr="+">
          <a:extLst>
            <a:ext uri="{FF2B5EF4-FFF2-40B4-BE49-F238E27FC236}">
              <a16:creationId xmlns:a16="http://schemas.microsoft.com/office/drawing/2014/main" id="{A08A6988-4239-4D37-8E27-0E391278890D}"/>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186696</xdr:rowOff>
    </xdr:to>
    <xdr:sp macro="" textlink="">
      <xdr:nvSpPr>
        <xdr:cNvPr id="141" name="AutoShape 160" descr="+">
          <a:extLst>
            <a:ext uri="{FF2B5EF4-FFF2-40B4-BE49-F238E27FC236}">
              <a16:creationId xmlns:a16="http://schemas.microsoft.com/office/drawing/2014/main" id="{3608B497-2BDA-473B-AC78-45485B287644}"/>
            </a:ext>
          </a:extLst>
        </xdr:cNvPr>
        <xdr:cNvSpPr>
          <a:spLocks noChangeAspect="1" noChangeArrowheads="1"/>
        </xdr:cNvSpPr>
      </xdr:nvSpPr>
      <xdr:spPr bwMode="auto">
        <a:xfrm>
          <a:off x="1885950" y="14363700"/>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171732</xdr:rowOff>
    </xdr:to>
    <xdr:sp macro="" textlink="">
      <xdr:nvSpPr>
        <xdr:cNvPr id="142" name="AutoShape 161" descr="+">
          <a:extLst>
            <a:ext uri="{FF2B5EF4-FFF2-40B4-BE49-F238E27FC236}">
              <a16:creationId xmlns:a16="http://schemas.microsoft.com/office/drawing/2014/main" id="{0AD84F3C-AFAC-47BD-A242-9B70236DFA32}"/>
            </a:ext>
          </a:extLst>
        </xdr:cNvPr>
        <xdr:cNvSpPr>
          <a:spLocks noChangeAspect="1" noChangeArrowheads="1"/>
        </xdr:cNvSpPr>
      </xdr:nvSpPr>
      <xdr:spPr bwMode="auto">
        <a:xfrm>
          <a:off x="1885950" y="14363700"/>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43" name="AutoShape 162" descr="+">
          <a:extLst>
            <a:ext uri="{FF2B5EF4-FFF2-40B4-BE49-F238E27FC236}">
              <a16:creationId xmlns:a16="http://schemas.microsoft.com/office/drawing/2014/main" id="{C5FC1F1C-B250-4199-8C5A-FA3DAC706261}"/>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44" name="AutoShape 163" descr="+">
          <a:extLst>
            <a:ext uri="{FF2B5EF4-FFF2-40B4-BE49-F238E27FC236}">
              <a16:creationId xmlns:a16="http://schemas.microsoft.com/office/drawing/2014/main" id="{9E0D9B14-55B2-4199-8FA6-7671C93E2637}"/>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191460</xdr:rowOff>
    </xdr:to>
    <xdr:sp macro="" textlink="">
      <xdr:nvSpPr>
        <xdr:cNvPr id="145" name="AutoShape 164" descr="+">
          <a:extLst>
            <a:ext uri="{FF2B5EF4-FFF2-40B4-BE49-F238E27FC236}">
              <a16:creationId xmlns:a16="http://schemas.microsoft.com/office/drawing/2014/main" id="{F3DA4E87-9663-467F-A30E-C896EB55D570}"/>
            </a:ext>
          </a:extLst>
        </xdr:cNvPr>
        <xdr:cNvSpPr>
          <a:spLocks noChangeAspect="1" noChangeArrowheads="1"/>
        </xdr:cNvSpPr>
      </xdr:nvSpPr>
      <xdr:spPr bwMode="auto">
        <a:xfrm>
          <a:off x="1885950" y="14363700"/>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46" name="AutoShape 165" descr="+">
          <a:extLst>
            <a:ext uri="{FF2B5EF4-FFF2-40B4-BE49-F238E27FC236}">
              <a16:creationId xmlns:a16="http://schemas.microsoft.com/office/drawing/2014/main" id="{0ED6FE88-DC82-45A1-B103-661911EECF0A}"/>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47" name="AutoShape 166" descr="+">
          <a:extLst>
            <a:ext uri="{FF2B5EF4-FFF2-40B4-BE49-F238E27FC236}">
              <a16:creationId xmlns:a16="http://schemas.microsoft.com/office/drawing/2014/main" id="{A43C048D-26ED-4070-9171-C7392A6D9882}"/>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148" name="AutoShape 167" descr="+">
          <a:extLst>
            <a:ext uri="{FF2B5EF4-FFF2-40B4-BE49-F238E27FC236}">
              <a16:creationId xmlns:a16="http://schemas.microsoft.com/office/drawing/2014/main" id="{76623A5A-9E83-45B0-8EB1-C990717A83EF}"/>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101405</xdr:rowOff>
    </xdr:to>
    <xdr:sp macro="" textlink="">
      <xdr:nvSpPr>
        <xdr:cNvPr id="149" name="AutoShape 168" descr="+">
          <a:extLst>
            <a:ext uri="{FF2B5EF4-FFF2-40B4-BE49-F238E27FC236}">
              <a16:creationId xmlns:a16="http://schemas.microsoft.com/office/drawing/2014/main" id="{AAAF2F24-0BB0-4977-BC13-0E152F32688E}"/>
            </a:ext>
          </a:extLst>
        </xdr:cNvPr>
        <xdr:cNvSpPr>
          <a:spLocks noChangeAspect="1" noChangeArrowheads="1"/>
        </xdr:cNvSpPr>
      </xdr:nvSpPr>
      <xdr:spPr bwMode="auto">
        <a:xfrm>
          <a:off x="1885950" y="14363700"/>
          <a:ext cx="304800" cy="3088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175533</xdr:rowOff>
    </xdr:to>
    <xdr:sp macro="" textlink="">
      <xdr:nvSpPr>
        <xdr:cNvPr id="150" name="AutoShape 169" descr="+">
          <a:extLst>
            <a:ext uri="{FF2B5EF4-FFF2-40B4-BE49-F238E27FC236}">
              <a16:creationId xmlns:a16="http://schemas.microsoft.com/office/drawing/2014/main" id="{5EF1A99B-1DA1-4F12-9EDD-757CB3E20ECA}"/>
            </a:ext>
          </a:extLst>
        </xdr:cNvPr>
        <xdr:cNvSpPr>
          <a:spLocks noChangeAspect="1" noChangeArrowheads="1"/>
        </xdr:cNvSpPr>
      </xdr:nvSpPr>
      <xdr:spPr bwMode="auto">
        <a:xfrm>
          <a:off x="1885950" y="14363700"/>
          <a:ext cx="304800" cy="1755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204106</xdr:rowOff>
    </xdr:to>
    <xdr:sp macro="" textlink="">
      <xdr:nvSpPr>
        <xdr:cNvPr id="151" name="AutoShape 170" descr="+">
          <a:extLst>
            <a:ext uri="{FF2B5EF4-FFF2-40B4-BE49-F238E27FC236}">
              <a16:creationId xmlns:a16="http://schemas.microsoft.com/office/drawing/2014/main" id="{0F6650C7-66E8-4704-8ACF-BC61154DD176}"/>
            </a:ext>
          </a:extLst>
        </xdr:cNvPr>
        <xdr:cNvSpPr>
          <a:spLocks noChangeAspect="1" noChangeArrowheads="1"/>
        </xdr:cNvSpPr>
      </xdr:nvSpPr>
      <xdr:spPr bwMode="auto">
        <a:xfrm>
          <a:off x="1885950" y="14363700"/>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101403</xdr:rowOff>
    </xdr:to>
    <xdr:sp macro="" textlink="">
      <xdr:nvSpPr>
        <xdr:cNvPr id="152" name="AutoShape 171" descr="+">
          <a:extLst>
            <a:ext uri="{FF2B5EF4-FFF2-40B4-BE49-F238E27FC236}">
              <a16:creationId xmlns:a16="http://schemas.microsoft.com/office/drawing/2014/main" id="{14B4E6AF-570E-4283-96D1-BB59FB43C146}"/>
            </a:ext>
          </a:extLst>
        </xdr:cNvPr>
        <xdr:cNvSpPr>
          <a:spLocks noChangeAspect="1" noChangeArrowheads="1"/>
        </xdr:cNvSpPr>
      </xdr:nvSpPr>
      <xdr:spPr bwMode="auto">
        <a:xfrm>
          <a:off x="1885950" y="14363700"/>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204108</xdr:rowOff>
    </xdr:to>
    <xdr:sp macro="" textlink="">
      <xdr:nvSpPr>
        <xdr:cNvPr id="153" name="AutoShape 172" descr="+">
          <a:extLst>
            <a:ext uri="{FF2B5EF4-FFF2-40B4-BE49-F238E27FC236}">
              <a16:creationId xmlns:a16="http://schemas.microsoft.com/office/drawing/2014/main" id="{5878ECF3-F141-4E02-A03E-BF6AB671B2C0}"/>
            </a:ext>
          </a:extLst>
        </xdr:cNvPr>
        <xdr:cNvSpPr>
          <a:spLocks noChangeAspect="1" noChangeArrowheads="1"/>
        </xdr:cNvSpPr>
      </xdr:nvSpPr>
      <xdr:spPr bwMode="auto">
        <a:xfrm>
          <a:off x="1885950" y="14363700"/>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54" name="AutoShape 173" descr="+">
          <a:extLst>
            <a:ext uri="{FF2B5EF4-FFF2-40B4-BE49-F238E27FC236}">
              <a16:creationId xmlns:a16="http://schemas.microsoft.com/office/drawing/2014/main" id="{0C5D1FD6-9514-4035-906B-C7F52E5CDBE9}"/>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173131</xdr:rowOff>
    </xdr:to>
    <xdr:sp macro="" textlink="">
      <xdr:nvSpPr>
        <xdr:cNvPr id="155" name="AutoShape 174" descr="+">
          <a:extLst>
            <a:ext uri="{FF2B5EF4-FFF2-40B4-BE49-F238E27FC236}">
              <a16:creationId xmlns:a16="http://schemas.microsoft.com/office/drawing/2014/main" id="{06076D28-F05A-4794-91C9-D13893DCD9CE}"/>
            </a:ext>
          </a:extLst>
        </xdr:cNvPr>
        <xdr:cNvSpPr>
          <a:spLocks noChangeAspect="1" noChangeArrowheads="1"/>
        </xdr:cNvSpPr>
      </xdr:nvSpPr>
      <xdr:spPr bwMode="auto">
        <a:xfrm>
          <a:off x="1885950" y="14363700"/>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56" name="AutoShape 175" descr="+">
          <a:extLst>
            <a:ext uri="{FF2B5EF4-FFF2-40B4-BE49-F238E27FC236}">
              <a16:creationId xmlns:a16="http://schemas.microsoft.com/office/drawing/2014/main" id="{906E27AD-45A8-4BE0-B13F-2CA4C2D336DD}"/>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57" name="AutoShape 176" descr="+">
          <a:extLst>
            <a:ext uri="{FF2B5EF4-FFF2-40B4-BE49-F238E27FC236}">
              <a16:creationId xmlns:a16="http://schemas.microsoft.com/office/drawing/2014/main" id="{9829D025-13F8-4133-97DE-11622E8E8A46}"/>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58" name="AutoShape 177" descr="+">
          <a:extLst>
            <a:ext uri="{FF2B5EF4-FFF2-40B4-BE49-F238E27FC236}">
              <a16:creationId xmlns:a16="http://schemas.microsoft.com/office/drawing/2014/main" id="{6139D42E-005E-41B5-9020-7ED2B4D96F78}"/>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59" name="AutoShape 178" descr="+">
          <a:extLst>
            <a:ext uri="{FF2B5EF4-FFF2-40B4-BE49-F238E27FC236}">
              <a16:creationId xmlns:a16="http://schemas.microsoft.com/office/drawing/2014/main" id="{97899760-0598-497A-811D-43EFA97A01BB}"/>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60" name="AutoShape 179" descr="+">
          <a:extLst>
            <a:ext uri="{FF2B5EF4-FFF2-40B4-BE49-F238E27FC236}">
              <a16:creationId xmlns:a16="http://schemas.microsoft.com/office/drawing/2014/main" id="{5E1E70D1-3EC4-467A-98DF-B20EB10765CA}"/>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191462</xdr:rowOff>
    </xdr:to>
    <xdr:sp macro="" textlink="">
      <xdr:nvSpPr>
        <xdr:cNvPr id="161" name="AutoShape 180" descr="+">
          <a:extLst>
            <a:ext uri="{FF2B5EF4-FFF2-40B4-BE49-F238E27FC236}">
              <a16:creationId xmlns:a16="http://schemas.microsoft.com/office/drawing/2014/main" id="{E0C580CF-24A7-4EC0-9EF7-DBB291348931}"/>
            </a:ext>
          </a:extLst>
        </xdr:cNvPr>
        <xdr:cNvSpPr>
          <a:spLocks noChangeAspect="1" noChangeArrowheads="1"/>
        </xdr:cNvSpPr>
      </xdr:nvSpPr>
      <xdr:spPr bwMode="auto">
        <a:xfrm>
          <a:off x="1885950" y="14363700"/>
          <a:ext cx="304800" cy="1914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3443</xdr:rowOff>
    </xdr:to>
    <xdr:sp macro="" textlink="">
      <xdr:nvSpPr>
        <xdr:cNvPr id="162" name="AutoShape 181" descr="+">
          <a:extLst>
            <a:ext uri="{FF2B5EF4-FFF2-40B4-BE49-F238E27FC236}">
              <a16:creationId xmlns:a16="http://schemas.microsoft.com/office/drawing/2014/main" id="{75FB0854-7289-4914-BF0C-C395785FF79F}"/>
            </a:ext>
          </a:extLst>
        </xdr:cNvPr>
        <xdr:cNvSpPr>
          <a:spLocks noChangeAspect="1" noChangeArrowheads="1"/>
        </xdr:cNvSpPr>
      </xdr:nvSpPr>
      <xdr:spPr bwMode="auto">
        <a:xfrm>
          <a:off x="1885950" y="1436370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102436</xdr:rowOff>
    </xdr:to>
    <xdr:sp macro="" textlink="">
      <xdr:nvSpPr>
        <xdr:cNvPr id="163" name="AutoShape 182" descr="+">
          <a:extLst>
            <a:ext uri="{FF2B5EF4-FFF2-40B4-BE49-F238E27FC236}">
              <a16:creationId xmlns:a16="http://schemas.microsoft.com/office/drawing/2014/main" id="{1F946297-2ED4-4B09-A78F-BEDE7DAC11EB}"/>
            </a:ext>
          </a:extLst>
        </xdr:cNvPr>
        <xdr:cNvSpPr>
          <a:spLocks noChangeAspect="1" noChangeArrowheads="1"/>
        </xdr:cNvSpPr>
      </xdr:nvSpPr>
      <xdr:spPr bwMode="auto">
        <a:xfrm>
          <a:off x="1885950" y="14363700"/>
          <a:ext cx="304800" cy="3099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64" name="AutoShape 183" descr="+">
          <a:extLst>
            <a:ext uri="{FF2B5EF4-FFF2-40B4-BE49-F238E27FC236}">
              <a16:creationId xmlns:a16="http://schemas.microsoft.com/office/drawing/2014/main" id="{E929AA49-4A74-48F8-878B-7AC639ED29AB}"/>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65" name="AutoShape 184" descr="+">
          <a:extLst>
            <a:ext uri="{FF2B5EF4-FFF2-40B4-BE49-F238E27FC236}">
              <a16:creationId xmlns:a16="http://schemas.microsoft.com/office/drawing/2014/main" id="{26C0A8A5-D129-456B-88E5-F69DFD804EF4}"/>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204109</xdr:rowOff>
    </xdr:to>
    <xdr:sp macro="" textlink="">
      <xdr:nvSpPr>
        <xdr:cNvPr id="166" name="AutoShape 185" descr="+">
          <a:extLst>
            <a:ext uri="{FF2B5EF4-FFF2-40B4-BE49-F238E27FC236}">
              <a16:creationId xmlns:a16="http://schemas.microsoft.com/office/drawing/2014/main" id="{C7F0F5B1-03E0-46D7-ABDD-3BF52DD75CD3}"/>
            </a:ext>
          </a:extLst>
        </xdr:cNvPr>
        <xdr:cNvSpPr>
          <a:spLocks noChangeAspect="1" noChangeArrowheads="1"/>
        </xdr:cNvSpPr>
      </xdr:nvSpPr>
      <xdr:spPr bwMode="auto">
        <a:xfrm>
          <a:off x="1885950" y="14363700"/>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167" name="AutoShape 186" descr="+">
          <a:extLst>
            <a:ext uri="{FF2B5EF4-FFF2-40B4-BE49-F238E27FC236}">
              <a16:creationId xmlns:a16="http://schemas.microsoft.com/office/drawing/2014/main" id="{BBF351BA-C2DA-4F92-A935-4E9F07D8F8CE}"/>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68" name="AutoShape 187" descr="+">
          <a:extLst>
            <a:ext uri="{FF2B5EF4-FFF2-40B4-BE49-F238E27FC236}">
              <a16:creationId xmlns:a16="http://schemas.microsoft.com/office/drawing/2014/main" id="{0AE23E9B-5B7F-45F6-83FA-CBFB12E4440F}"/>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169" name="AutoShape 188" descr="+">
          <a:extLst>
            <a:ext uri="{FF2B5EF4-FFF2-40B4-BE49-F238E27FC236}">
              <a16:creationId xmlns:a16="http://schemas.microsoft.com/office/drawing/2014/main" id="{62332931-47B7-4C42-9460-5DE08E8A573B}"/>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70" name="AutoShape 189" descr="+">
          <a:extLst>
            <a:ext uri="{FF2B5EF4-FFF2-40B4-BE49-F238E27FC236}">
              <a16:creationId xmlns:a16="http://schemas.microsoft.com/office/drawing/2014/main" id="{813A093D-0DC0-4835-98E5-E72C6835461E}"/>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172409</xdr:rowOff>
    </xdr:to>
    <xdr:sp macro="" textlink="">
      <xdr:nvSpPr>
        <xdr:cNvPr id="171" name="AutoShape 190" descr="+">
          <a:extLst>
            <a:ext uri="{FF2B5EF4-FFF2-40B4-BE49-F238E27FC236}">
              <a16:creationId xmlns:a16="http://schemas.microsoft.com/office/drawing/2014/main" id="{9738248E-3558-4FEC-8377-26A1C49DCA5C}"/>
            </a:ext>
          </a:extLst>
        </xdr:cNvPr>
        <xdr:cNvSpPr>
          <a:spLocks noChangeAspect="1" noChangeArrowheads="1"/>
        </xdr:cNvSpPr>
      </xdr:nvSpPr>
      <xdr:spPr bwMode="auto">
        <a:xfrm>
          <a:off x="1885950" y="14363700"/>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72" name="AutoShape 191" descr="+">
          <a:extLst>
            <a:ext uri="{FF2B5EF4-FFF2-40B4-BE49-F238E27FC236}">
              <a16:creationId xmlns:a16="http://schemas.microsoft.com/office/drawing/2014/main" id="{EC6EB58D-E939-4C6C-BE98-6F36E625A8D3}"/>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173" name="AutoShape 192" descr="+">
          <a:extLst>
            <a:ext uri="{FF2B5EF4-FFF2-40B4-BE49-F238E27FC236}">
              <a16:creationId xmlns:a16="http://schemas.microsoft.com/office/drawing/2014/main" id="{68A6EB15-B184-428B-B826-AD4620740F7D}"/>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74" name="AutoShape 193" descr="+">
          <a:extLst>
            <a:ext uri="{FF2B5EF4-FFF2-40B4-BE49-F238E27FC236}">
              <a16:creationId xmlns:a16="http://schemas.microsoft.com/office/drawing/2014/main" id="{A4A2219C-7041-4256-8231-B3BCA26EE4D5}"/>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75" name="AutoShape 194" descr="+">
          <a:extLst>
            <a:ext uri="{FF2B5EF4-FFF2-40B4-BE49-F238E27FC236}">
              <a16:creationId xmlns:a16="http://schemas.microsoft.com/office/drawing/2014/main" id="{6932F745-EE21-4708-8649-26BA55C3E06B}"/>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181936</xdr:rowOff>
    </xdr:to>
    <xdr:sp macro="" textlink="">
      <xdr:nvSpPr>
        <xdr:cNvPr id="176" name="AutoShape 195" descr="+">
          <a:extLst>
            <a:ext uri="{FF2B5EF4-FFF2-40B4-BE49-F238E27FC236}">
              <a16:creationId xmlns:a16="http://schemas.microsoft.com/office/drawing/2014/main" id="{E740295C-D750-4E1B-9E58-3D2F54DBE67F}"/>
            </a:ext>
          </a:extLst>
        </xdr:cNvPr>
        <xdr:cNvSpPr>
          <a:spLocks noChangeAspect="1" noChangeArrowheads="1"/>
        </xdr:cNvSpPr>
      </xdr:nvSpPr>
      <xdr:spPr bwMode="auto">
        <a:xfrm>
          <a:off x="1885950" y="1436370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200704</xdr:rowOff>
    </xdr:to>
    <xdr:sp macro="" textlink="">
      <xdr:nvSpPr>
        <xdr:cNvPr id="177" name="AutoShape 196" descr="+">
          <a:extLst>
            <a:ext uri="{FF2B5EF4-FFF2-40B4-BE49-F238E27FC236}">
              <a16:creationId xmlns:a16="http://schemas.microsoft.com/office/drawing/2014/main" id="{EB44AC1B-F93B-4195-A796-A8AD2432940A}"/>
            </a:ext>
          </a:extLst>
        </xdr:cNvPr>
        <xdr:cNvSpPr>
          <a:spLocks noChangeAspect="1" noChangeArrowheads="1"/>
        </xdr:cNvSpPr>
      </xdr:nvSpPr>
      <xdr:spPr bwMode="auto">
        <a:xfrm>
          <a:off x="1885950" y="14363700"/>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97320</xdr:rowOff>
    </xdr:to>
    <xdr:sp macro="" textlink="">
      <xdr:nvSpPr>
        <xdr:cNvPr id="178" name="AutoShape 197" descr="+">
          <a:extLst>
            <a:ext uri="{FF2B5EF4-FFF2-40B4-BE49-F238E27FC236}">
              <a16:creationId xmlns:a16="http://schemas.microsoft.com/office/drawing/2014/main" id="{78360767-5703-4B2C-AEF6-1B302ECF760E}"/>
            </a:ext>
          </a:extLst>
        </xdr:cNvPr>
        <xdr:cNvSpPr>
          <a:spLocks noChangeAspect="1" noChangeArrowheads="1"/>
        </xdr:cNvSpPr>
      </xdr:nvSpPr>
      <xdr:spPr bwMode="auto">
        <a:xfrm>
          <a:off x="1885950" y="1436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79" name="AutoShape 198" descr="+">
          <a:extLst>
            <a:ext uri="{FF2B5EF4-FFF2-40B4-BE49-F238E27FC236}">
              <a16:creationId xmlns:a16="http://schemas.microsoft.com/office/drawing/2014/main" id="{E64145B6-9BC0-4CC8-9684-EB72E9B536EE}"/>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171732</xdr:rowOff>
    </xdr:to>
    <xdr:sp macro="" textlink="">
      <xdr:nvSpPr>
        <xdr:cNvPr id="180" name="AutoShape 199" descr="+">
          <a:extLst>
            <a:ext uri="{FF2B5EF4-FFF2-40B4-BE49-F238E27FC236}">
              <a16:creationId xmlns:a16="http://schemas.microsoft.com/office/drawing/2014/main" id="{B6288E76-3EB2-4A85-B674-83850AFB2F86}"/>
            </a:ext>
          </a:extLst>
        </xdr:cNvPr>
        <xdr:cNvSpPr>
          <a:spLocks noChangeAspect="1" noChangeArrowheads="1"/>
        </xdr:cNvSpPr>
      </xdr:nvSpPr>
      <xdr:spPr bwMode="auto">
        <a:xfrm>
          <a:off x="1885950" y="14363700"/>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183470</xdr:rowOff>
    </xdr:to>
    <xdr:sp macro="" textlink="">
      <xdr:nvSpPr>
        <xdr:cNvPr id="181" name="AutoShape 200" descr="+">
          <a:extLst>
            <a:ext uri="{FF2B5EF4-FFF2-40B4-BE49-F238E27FC236}">
              <a16:creationId xmlns:a16="http://schemas.microsoft.com/office/drawing/2014/main" id="{E61A6311-4F46-4483-80BE-47ADDDEDB73F}"/>
            </a:ext>
          </a:extLst>
        </xdr:cNvPr>
        <xdr:cNvSpPr>
          <a:spLocks noChangeAspect="1" noChangeArrowheads="1"/>
        </xdr:cNvSpPr>
      </xdr:nvSpPr>
      <xdr:spPr bwMode="auto">
        <a:xfrm>
          <a:off x="1885950" y="14363700"/>
          <a:ext cx="304800" cy="183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82" name="AutoShape 201" descr="+">
          <a:extLst>
            <a:ext uri="{FF2B5EF4-FFF2-40B4-BE49-F238E27FC236}">
              <a16:creationId xmlns:a16="http://schemas.microsoft.com/office/drawing/2014/main" id="{1721A3BB-2C31-439D-BF16-9C00FB3806A8}"/>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83" name="AutoShape 202" descr="+">
          <a:extLst>
            <a:ext uri="{FF2B5EF4-FFF2-40B4-BE49-F238E27FC236}">
              <a16:creationId xmlns:a16="http://schemas.microsoft.com/office/drawing/2014/main" id="{8361333B-DB1C-4EE8-928D-3EBF29F2B82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84" name="AutoShape 203" descr="+">
          <a:extLst>
            <a:ext uri="{FF2B5EF4-FFF2-40B4-BE49-F238E27FC236}">
              <a16:creationId xmlns:a16="http://schemas.microsoft.com/office/drawing/2014/main" id="{462A2995-8D88-4FE6-AA70-A41E55F1C501}"/>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85" name="AutoShape 204" descr="+">
          <a:extLst>
            <a:ext uri="{FF2B5EF4-FFF2-40B4-BE49-F238E27FC236}">
              <a16:creationId xmlns:a16="http://schemas.microsoft.com/office/drawing/2014/main" id="{C08FDE4D-4E69-44BE-AA61-C6723A5455EF}"/>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86" name="AutoShape 205" descr="+">
          <a:extLst>
            <a:ext uri="{FF2B5EF4-FFF2-40B4-BE49-F238E27FC236}">
              <a16:creationId xmlns:a16="http://schemas.microsoft.com/office/drawing/2014/main" id="{12991CA8-0DF0-41AD-967A-A1ACF788EB8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87" name="AutoShape 206" descr="+">
          <a:extLst>
            <a:ext uri="{FF2B5EF4-FFF2-40B4-BE49-F238E27FC236}">
              <a16:creationId xmlns:a16="http://schemas.microsoft.com/office/drawing/2014/main" id="{D74CB445-D7E8-4695-9AA6-A89C0E151D5E}"/>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181937</xdr:rowOff>
    </xdr:to>
    <xdr:sp macro="" textlink="">
      <xdr:nvSpPr>
        <xdr:cNvPr id="188" name="AutoShape 207" descr="+">
          <a:extLst>
            <a:ext uri="{FF2B5EF4-FFF2-40B4-BE49-F238E27FC236}">
              <a16:creationId xmlns:a16="http://schemas.microsoft.com/office/drawing/2014/main" id="{DC6E4A4E-D454-40AA-91F3-3486283FF642}"/>
            </a:ext>
          </a:extLst>
        </xdr:cNvPr>
        <xdr:cNvSpPr>
          <a:spLocks noChangeAspect="1" noChangeArrowheads="1"/>
        </xdr:cNvSpPr>
      </xdr:nvSpPr>
      <xdr:spPr bwMode="auto">
        <a:xfrm>
          <a:off x="1885950" y="14363700"/>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89" name="AutoShape 208" descr="+">
          <a:extLst>
            <a:ext uri="{FF2B5EF4-FFF2-40B4-BE49-F238E27FC236}">
              <a16:creationId xmlns:a16="http://schemas.microsoft.com/office/drawing/2014/main" id="{0EE1A5CC-7FEA-4741-8029-83568ED2148E}"/>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90" name="AutoShape 209" descr="+">
          <a:extLst>
            <a:ext uri="{FF2B5EF4-FFF2-40B4-BE49-F238E27FC236}">
              <a16:creationId xmlns:a16="http://schemas.microsoft.com/office/drawing/2014/main" id="{04935F20-2899-4D98-B9E0-9C6A7E301AE5}"/>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191461</xdr:rowOff>
    </xdr:to>
    <xdr:sp macro="" textlink="">
      <xdr:nvSpPr>
        <xdr:cNvPr id="191" name="AutoShape 210" descr="+">
          <a:extLst>
            <a:ext uri="{FF2B5EF4-FFF2-40B4-BE49-F238E27FC236}">
              <a16:creationId xmlns:a16="http://schemas.microsoft.com/office/drawing/2014/main" id="{0034A44F-E18E-47C9-82BE-47B42A3FA1AD}"/>
            </a:ext>
          </a:extLst>
        </xdr:cNvPr>
        <xdr:cNvSpPr>
          <a:spLocks noChangeAspect="1" noChangeArrowheads="1"/>
        </xdr:cNvSpPr>
      </xdr:nvSpPr>
      <xdr:spPr bwMode="auto">
        <a:xfrm>
          <a:off x="1885950" y="14363700"/>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97320</xdr:rowOff>
    </xdr:to>
    <xdr:sp macro="" textlink="">
      <xdr:nvSpPr>
        <xdr:cNvPr id="192" name="AutoShape 211" descr="+">
          <a:extLst>
            <a:ext uri="{FF2B5EF4-FFF2-40B4-BE49-F238E27FC236}">
              <a16:creationId xmlns:a16="http://schemas.microsoft.com/office/drawing/2014/main" id="{8B6A1B89-2CC3-4E47-8C2D-4C5BDF48CB27}"/>
            </a:ext>
          </a:extLst>
        </xdr:cNvPr>
        <xdr:cNvSpPr>
          <a:spLocks noChangeAspect="1" noChangeArrowheads="1"/>
        </xdr:cNvSpPr>
      </xdr:nvSpPr>
      <xdr:spPr bwMode="auto">
        <a:xfrm>
          <a:off x="1885950" y="1436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69350</xdr:rowOff>
    </xdr:to>
    <xdr:sp macro="" textlink="">
      <xdr:nvSpPr>
        <xdr:cNvPr id="193" name="AutoShape 212" descr="+">
          <a:extLst>
            <a:ext uri="{FF2B5EF4-FFF2-40B4-BE49-F238E27FC236}">
              <a16:creationId xmlns:a16="http://schemas.microsoft.com/office/drawing/2014/main" id="{9226F471-C544-4BC4-AC11-040B3612A372}"/>
            </a:ext>
          </a:extLst>
        </xdr:cNvPr>
        <xdr:cNvSpPr>
          <a:spLocks noChangeAspect="1" noChangeArrowheads="1"/>
        </xdr:cNvSpPr>
      </xdr:nvSpPr>
      <xdr:spPr bwMode="auto">
        <a:xfrm>
          <a:off x="1885950" y="14363700"/>
          <a:ext cx="304800" cy="2768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173131</xdr:rowOff>
    </xdr:to>
    <xdr:sp macro="" textlink="">
      <xdr:nvSpPr>
        <xdr:cNvPr id="194" name="AutoShape 213" descr="+">
          <a:extLst>
            <a:ext uri="{FF2B5EF4-FFF2-40B4-BE49-F238E27FC236}">
              <a16:creationId xmlns:a16="http://schemas.microsoft.com/office/drawing/2014/main" id="{256A482B-D76E-4266-A243-F21D5119D4C8}"/>
            </a:ext>
          </a:extLst>
        </xdr:cNvPr>
        <xdr:cNvSpPr>
          <a:spLocks noChangeAspect="1" noChangeArrowheads="1"/>
        </xdr:cNvSpPr>
      </xdr:nvSpPr>
      <xdr:spPr bwMode="auto">
        <a:xfrm>
          <a:off x="1885950" y="14363700"/>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95" name="AutoShape 214" descr="+">
          <a:extLst>
            <a:ext uri="{FF2B5EF4-FFF2-40B4-BE49-F238E27FC236}">
              <a16:creationId xmlns:a16="http://schemas.microsoft.com/office/drawing/2014/main" id="{E7F8F2D4-23E5-48A6-86AC-BBB587ACBFC9}"/>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96" name="AutoShape 215" descr="+">
          <a:extLst>
            <a:ext uri="{FF2B5EF4-FFF2-40B4-BE49-F238E27FC236}">
              <a16:creationId xmlns:a16="http://schemas.microsoft.com/office/drawing/2014/main" id="{37251C8A-0175-48BA-B433-0359F0E1D208}"/>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203090</xdr:rowOff>
    </xdr:to>
    <xdr:sp macro="" textlink="">
      <xdr:nvSpPr>
        <xdr:cNvPr id="197" name="AutoShape 216" descr="+">
          <a:extLst>
            <a:ext uri="{FF2B5EF4-FFF2-40B4-BE49-F238E27FC236}">
              <a16:creationId xmlns:a16="http://schemas.microsoft.com/office/drawing/2014/main" id="{E72DA612-B923-4026-85D4-CBE78803DE58}"/>
            </a:ext>
          </a:extLst>
        </xdr:cNvPr>
        <xdr:cNvSpPr>
          <a:spLocks noChangeAspect="1" noChangeArrowheads="1"/>
        </xdr:cNvSpPr>
      </xdr:nvSpPr>
      <xdr:spPr bwMode="auto">
        <a:xfrm>
          <a:off x="1885950" y="14363700"/>
          <a:ext cx="304800" cy="203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98" name="AutoShape 217" descr="+">
          <a:extLst>
            <a:ext uri="{FF2B5EF4-FFF2-40B4-BE49-F238E27FC236}">
              <a16:creationId xmlns:a16="http://schemas.microsoft.com/office/drawing/2014/main" id="{0CDDBC2B-AE12-4B8A-BAD6-82564340AF82}"/>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99" name="AutoShape 218" descr="+">
          <a:extLst>
            <a:ext uri="{FF2B5EF4-FFF2-40B4-BE49-F238E27FC236}">
              <a16:creationId xmlns:a16="http://schemas.microsoft.com/office/drawing/2014/main" id="{22E8AE0A-158F-4CE3-AE69-18DA11DC1228}"/>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186697</xdr:rowOff>
    </xdr:to>
    <xdr:sp macro="" textlink="">
      <xdr:nvSpPr>
        <xdr:cNvPr id="200" name="AutoShape 219" descr="+">
          <a:extLst>
            <a:ext uri="{FF2B5EF4-FFF2-40B4-BE49-F238E27FC236}">
              <a16:creationId xmlns:a16="http://schemas.microsoft.com/office/drawing/2014/main" id="{7245C70F-A7AB-4C32-AA78-2B5B2D12CF75}"/>
            </a:ext>
          </a:extLst>
        </xdr:cNvPr>
        <xdr:cNvSpPr>
          <a:spLocks noChangeAspect="1" noChangeArrowheads="1"/>
        </xdr:cNvSpPr>
      </xdr:nvSpPr>
      <xdr:spPr bwMode="auto">
        <a:xfrm>
          <a:off x="1885950" y="14363700"/>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01" name="AutoShape 220" descr="+">
          <a:extLst>
            <a:ext uri="{FF2B5EF4-FFF2-40B4-BE49-F238E27FC236}">
              <a16:creationId xmlns:a16="http://schemas.microsoft.com/office/drawing/2014/main" id="{E8AE9F2E-F51B-4555-A653-3273AA51707B}"/>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02" name="AutoShape 221" descr="+">
          <a:extLst>
            <a:ext uri="{FF2B5EF4-FFF2-40B4-BE49-F238E27FC236}">
              <a16:creationId xmlns:a16="http://schemas.microsoft.com/office/drawing/2014/main" id="{3CD2A741-F28D-4977-A2EE-94553B6BE037}"/>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03" name="AutoShape 222" descr="+">
          <a:extLst>
            <a:ext uri="{FF2B5EF4-FFF2-40B4-BE49-F238E27FC236}">
              <a16:creationId xmlns:a16="http://schemas.microsoft.com/office/drawing/2014/main" id="{3BAE4FE9-D153-49EE-B7A8-21C9B533390E}"/>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04" name="AutoShape 223" descr="+">
          <a:extLst>
            <a:ext uri="{FF2B5EF4-FFF2-40B4-BE49-F238E27FC236}">
              <a16:creationId xmlns:a16="http://schemas.microsoft.com/office/drawing/2014/main" id="{C2CBC8BD-97F7-4B23-82EC-79A9070C2153}"/>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05" name="AutoShape 224" descr="+">
          <a:extLst>
            <a:ext uri="{FF2B5EF4-FFF2-40B4-BE49-F238E27FC236}">
              <a16:creationId xmlns:a16="http://schemas.microsoft.com/office/drawing/2014/main" id="{159C5C55-DCC6-4660-A36E-9EB2708F0B9B}"/>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191460</xdr:rowOff>
    </xdr:to>
    <xdr:sp macro="" textlink="">
      <xdr:nvSpPr>
        <xdr:cNvPr id="206" name="AutoShape 225" descr="+">
          <a:extLst>
            <a:ext uri="{FF2B5EF4-FFF2-40B4-BE49-F238E27FC236}">
              <a16:creationId xmlns:a16="http://schemas.microsoft.com/office/drawing/2014/main" id="{DA54053D-3E4E-479A-8CCD-259CC3F8FFB4}"/>
            </a:ext>
          </a:extLst>
        </xdr:cNvPr>
        <xdr:cNvSpPr>
          <a:spLocks noChangeAspect="1" noChangeArrowheads="1"/>
        </xdr:cNvSpPr>
      </xdr:nvSpPr>
      <xdr:spPr bwMode="auto">
        <a:xfrm>
          <a:off x="1885950" y="14363700"/>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97322</xdr:rowOff>
    </xdr:to>
    <xdr:sp macro="" textlink="">
      <xdr:nvSpPr>
        <xdr:cNvPr id="207" name="AutoShape 226" descr="+">
          <a:extLst>
            <a:ext uri="{FF2B5EF4-FFF2-40B4-BE49-F238E27FC236}">
              <a16:creationId xmlns:a16="http://schemas.microsoft.com/office/drawing/2014/main" id="{B1F48DF8-0AA3-49DE-AA78-2629794D2C58}"/>
            </a:ext>
          </a:extLst>
        </xdr:cNvPr>
        <xdr:cNvSpPr>
          <a:spLocks noChangeAspect="1" noChangeArrowheads="1"/>
        </xdr:cNvSpPr>
      </xdr:nvSpPr>
      <xdr:spPr bwMode="auto">
        <a:xfrm>
          <a:off x="1885950" y="1436370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08" name="AutoShape 227" descr="+">
          <a:extLst>
            <a:ext uri="{FF2B5EF4-FFF2-40B4-BE49-F238E27FC236}">
              <a16:creationId xmlns:a16="http://schemas.microsoft.com/office/drawing/2014/main" id="{6D41F9E8-0081-405D-A02D-6A18ED294F1A}"/>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09" name="AutoShape 228" descr="+">
          <a:extLst>
            <a:ext uri="{FF2B5EF4-FFF2-40B4-BE49-F238E27FC236}">
              <a16:creationId xmlns:a16="http://schemas.microsoft.com/office/drawing/2014/main" id="{AD297C97-6C39-45B8-BEF8-E712EAEAD615}"/>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98999</xdr:rowOff>
    </xdr:to>
    <xdr:sp macro="" textlink="">
      <xdr:nvSpPr>
        <xdr:cNvPr id="210" name="AutoShape 229" descr="+">
          <a:extLst>
            <a:ext uri="{FF2B5EF4-FFF2-40B4-BE49-F238E27FC236}">
              <a16:creationId xmlns:a16="http://schemas.microsoft.com/office/drawing/2014/main" id="{2A88F461-DCAD-4A3B-8613-6BFBC2692823}"/>
            </a:ext>
          </a:extLst>
        </xdr:cNvPr>
        <xdr:cNvSpPr>
          <a:spLocks noChangeAspect="1" noChangeArrowheads="1"/>
        </xdr:cNvSpPr>
      </xdr:nvSpPr>
      <xdr:spPr bwMode="auto">
        <a:xfrm>
          <a:off x="1885950" y="14363700"/>
          <a:ext cx="304800" cy="3064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97321</xdr:rowOff>
    </xdr:to>
    <xdr:sp macro="" textlink="">
      <xdr:nvSpPr>
        <xdr:cNvPr id="211" name="AutoShape 230" descr="+">
          <a:extLst>
            <a:ext uri="{FF2B5EF4-FFF2-40B4-BE49-F238E27FC236}">
              <a16:creationId xmlns:a16="http://schemas.microsoft.com/office/drawing/2014/main" id="{F551F09A-7F08-443A-92BA-E71D64542443}"/>
            </a:ext>
          </a:extLst>
        </xdr:cNvPr>
        <xdr:cNvSpPr>
          <a:spLocks noChangeAspect="1" noChangeArrowheads="1"/>
        </xdr:cNvSpPr>
      </xdr:nvSpPr>
      <xdr:spPr bwMode="auto">
        <a:xfrm>
          <a:off x="1885950" y="143637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12" name="AutoShape 231" descr="+">
          <a:extLst>
            <a:ext uri="{FF2B5EF4-FFF2-40B4-BE49-F238E27FC236}">
              <a16:creationId xmlns:a16="http://schemas.microsoft.com/office/drawing/2014/main" id="{A75DCEF2-FE72-4B8E-A50B-C5CB3D0237FC}"/>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213" name="AutoShape 232" descr="+">
          <a:extLst>
            <a:ext uri="{FF2B5EF4-FFF2-40B4-BE49-F238E27FC236}">
              <a16:creationId xmlns:a16="http://schemas.microsoft.com/office/drawing/2014/main" id="{632BF04F-1A9D-4DD0-991B-F04B0DAB2D0B}"/>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14" name="AutoShape 233" descr="+">
          <a:extLst>
            <a:ext uri="{FF2B5EF4-FFF2-40B4-BE49-F238E27FC236}">
              <a16:creationId xmlns:a16="http://schemas.microsoft.com/office/drawing/2014/main" id="{00B0E620-B208-4F9B-890B-A632E1CA1A38}"/>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15" name="AutoShape 234" descr="+">
          <a:extLst>
            <a:ext uri="{FF2B5EF4-FFF2-40B4-BE49-F238E27FC236}">
              <a16:creationId xmlns:a16="http://schemas.microsoft.com/office/drawing/2014/main" id="{A6835511-E795-4BC2-A87A-C42001C0BC9F}"/>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16" name="AutoShape 235" descr="+">
          <a:extLst>
            <a:ext uri="{FF2B5EF4-FFF2-40B4-BE49-F238E27FC236}">
              <a16:creationId xmlns:a16="http://schemas.microsoft.com/office/drawing/2014/main" id="{08E69A34-0495-4FB9-B01B-38B34F264C64}"/>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17" name="AutoShape 236" descr="+">
          <a:extLst>
            <a:ext uri="{FF2B5EF4-FFF2-40B4-BE49-F238E27FC236}">
              <a16:creationId xmlns:a16="http://schemas.microsoft.com/office/drawing/2014/main" id="{6F71503D-AED3-4F3D-9D14-10DF0C7FA21E}"/>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18" name="AutoShape 237" descr="+">
          <a:extLst>
            <a:ext uri="{FF2B5EF4-FFF2-40B4-BE49-F238E27FC236}">
              <a16:creationId xmlns:a16="http://schemas.microsoft.com/office/drawing/2014/main" id="{BB2264AA-3B3C-4D7F-90DE-273DA87350D5}"/>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3449</xdr:rowOff>
    </xdr:to>
    <xdr:sp macro="" textlink="">
      <xdr:nvSpPr>
        <xdr:cNvPr id="219" name="AutoShape 238" descr="+">
          <a:extLst>
            <a:ext uri="{FF2B5EF4-FFF2-40B4-BE49-F238E27FC236}">
              <a16:creationId xmlns:a16="http://schemas.microsoft.com/office/drawing/2014/main" id="{9ED7866D-CB3E-4DE5-8E48-145C78DE01AC}"/>
            </a:ext>
          </a:extLst>
        </xdr:cNvPr>
        <xdr:cNvSpPr>
          <a:spLocks noChangeAspect="1" noChangeArrowheads="1"/>
        </xdr:cNvSpPr>
      </xdr:nvSpPr>
      <xdr:spPr bwMode="auto">
        <a:xfrm>
          <a:off x="1885950" y="14363700"/>
          <a:ext cx="304800" cy="21051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20" name="AutoShape 239" descr="+">
          <a:extLst>
            <a:ext uri="{FF2B5EF4-FFF2-40B4-BE49-F238E27FC236}">
              <a16:creationId xmlns:a16="http://schemas.microsoft.com/office/drawing/2014/main" id="{AB15C001-8FB7-4B79-BDA2-4A0B317E3788}"/>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21" name="AutoShape 240" descr="+">
          <a:extLst>
            <a:ext uri="{FF2B5EF4-FFF2-40B4-BE49-F238E27FC236}">
              <a16:creationId xmlns:a16="http://schemas.microsoft.com/office/drawing/2014/main" id="{AA66FDB9-C1EA-480F-B9B7-37D33323C7FD}"/>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22" name="AutoShape 241" descr="+">
          <a:extLst>
            <a:ext uri="{FF2B5EF4-FFF2-40B4-BE49-F238E27FC236}">
              <a16:creationId xmlns:a16="http://schemas.microsoft.com/office/drawing/2014/main" id="{D09E52AD-3FE7-4EB4-BBCB-EFAB409FD5B6}"/>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186698</xdr:rowOff>
    </xdr:to>
    <xdr:sp macro="" textlink="">
      <xdr:nvSpPr>
        <xdr:cNvPr id="223" name="AutoShape 242" descr="+">
          <a:extLst>
            <a:ext uri="{FF2B5EF4-FFF2-40B4-BE49-F238E27FC236}">
              <a16:creationId xmlns:a16="http://schemas.microsoft.com/office/drawing/2014/main" id="{D3FEB718-6091-47C4-B6A9-63395C0BCC29}"/>
            </a:ext>
          </a:extLst>
        </xdr:cNvPr>
        <xdr:cNvSpPr>
          <a:spLocks noChangeAspect="1" noChangeArrowheads="1"/>
        </xdr:cNvSpPr>
      </xdr:nvSpPr>
      <xdr:spPr bwMode="auto">
        <a:xfrm>
          <a:off x="1885950" y="14363700"/>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24" name="AutoShape 243" descr="+">
          <a:extLst>
            <a:ext uri="{FF2B5EF4-FFF2-40B4-BE49-F238E27FC236}">
              <a16:creationId xmlns:a16="http://schemas.microsoft.com/office/drawing/2014/main" id="{870A82AA-E55B-45C4-9B83-51825EA6EF8A}"/>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25" name="AutoShape 244" descr="+">
          <a:extLst>
            <a:ext uri="{FF2B5EF4-FFF2-40B4-BE49-F238E27FC236}">
              <a16:creationId xmlns:a16="http://schemas.microsoft.com/office/drawing/2014/main" id="{7A631866-BDB3-469B-8CBA-67AE68089A1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26" name="AutoShape 245" descr="+">
          <a:extLst>
            <a:ext uri="{FF2B5EF4-FFF2-40B4-BE49-F238E27FC236}">
              <a16:creationId xmlns:a16="http://schemas.microsoft.com/office/drawing/2014/main" id="{92CDC3A3-B483-481C-A42D-65F864BD8708}"/>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227" name="AutoShape 246" descr="+">
          <a:extLst>
            <a:ext uri="{FF2B5EF4-FFF2-40B4-BE49-F238E27FC236}">
              <a16:creationId xmlns:a16="http://schemas.microsoft.com/office/drawing/2014/main" id="{06668F1E-9AE1-49B2-85FD-32F495E9AF0F}"/>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28" name="AutoShape 247" descr="+">
          <a:extLst>
            <a:ext uri="{FF2B5EF4-FFF2-40B4-BE49-F238E27FC236}">
              <a16:creationId xmlns:a16="http://schemas.microsoft.com/office/drawing/2014/main" id="{73DE6DA9-B0CA-4988-A71D-966600B27874}"/>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229" name="AutoShape 248" descr="+">
          <a:extLst>
            <a:ext uri="{FF2B5EF4-FFF2-40B4-BE49-F238E27FC236}">
              <a16:creationId xmlns:a16="http://schemas.microsoft.com/office/drawing/2014/main" id="{1F1D282E-FE83-49ED-88C3-A1DCD0B585D9}"/>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30" name="AutoShape 249" descr="+">
          <a:extLst>
            <a:ext uri="{FF2B5EF4-FFF2-40B4-BE49-F238E27FC236}">
              <a16:creationId xmlns:a16="http://schemas.microsoft.com/office/drawing/2014/main" id="{F8EE6C5A-6985-4E53-9139-06B9D47FB41C}"/>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31" name="AutoShape 250" descr="+">
          <a:extLst>
            <a:ext uri="{FF2B5EF4-FFF2-40B4-BE49-F238E27FC236}">
              <a16:creationId xmlns:a16="http://schemas.microsoft.com/office/drawing/2014/main" id="{DAB81C02-839A-4750-A038-9EFC7207EBD4}"/>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32" name="AutoShape 251" descr="+">
          <a:extLst>
            <a:ext uri="{FF2B5EF4-FFF2-40B4-BE49-F238E27FC236}">
              <a16:creationId xmlns:a16="http://schemas.microsoft.com/office/drawing/2014/main" id="{6E242B8A-CF6E-4960-B468-CA6C0B95FD8A}"/>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33" name="AutoShape 252" descr="+">
          <a:extLst>
            <a:ext uri="{FF2B5EF4-FFF2-40B4-BE49-F238E27FC236}">
              <a16:creationId xmlns:a16="http://schemas.microsoft.com/office/drawing/2014/main" id="{3EFD7C6A-C0D8-445C-AED8-0D4B8765054D}"/>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181937</xdr:rowOff>
    </xdr:to>
    <xdr:sp macro="" textlink="">
      <xdr:nvSpPr>
        <xdr:cNvPr id="234" name="AutoShape 253" descr="+">
          <a:extLst>
            <a:ext uri="{FF2B5EF4-FFF2-40B4-BE49-F238E27FC236}">
              <a16:creationId xmlns:a16="http://schemas.microsoft.com/office/drawing/2014/main" id="{88FB932F-4AA7-47A3-B597-8669F61179E0}"/>
            </a:ext>
          </a:extLst>
        </xdr:cNvPr>
        <xdr:cNvSpPr>
          <a:spLocks noChangeAspect="1" noChangeArrowheads="1"/>
        </xdr:cNvSpPr>
      </xdr:nvSpPr>
      <xdr:spPr bwMode="auto">
        <a:xfrm>
          <a:off x="1885950" y="14363700"/>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35" name="AutoShape 254" descr="+">
          <a:extLst>
            <a:ext uri="{FF2B5EF4-FFF2-40B4-BE49-F238E27FC236}">
              <a16:creationId xmlns:a16="http://schemas.microsoft.com/office/drawing/2014/main" id="{656E236F-ACD5-423E-B11A-6065DABD1137}"/>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36" name="AutoShape 255" descr="+">
          <a:extLst>
            <a:ext uri="{FF2B5EF4-FFF2-40B4-BE49-F238E27FC236}">
              <a16:creationId xmlns:a16="http://schemas.microsoft.com/office/drawing/2014/main" id="{ACA6F5A4-261D-4157-90C4-DFABCBE880DC}"/>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37" name="AutoShape 256" descr="+">
          <a:extLst>
            <a:ext uri="{FF2B5EF4-FFF2-40B4-BE49-F238E27FC236}">
              <a16:creationId xmlns:a16="http://schemas.microsoft.com/office/drawing/2014/main" id="{E168EBCE-693C-4078-BBFF-66460EAE0617}"/>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38" name="AutoShape 257" descr="+">
          <a:extLst>
            <a:ext uri="{FF2B5EF4-FFF2-40B4-BE49-F238E27FC236}">
              <a16:creationId xmlns:a16="http://schemas.microsoft.com/office/drawing/2014/main" id="{A32E22FD-8DFC-47E1-BF07-DDEEAF22F550}"/>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64263</xdr:rowOff>
    </xdr:to>
    <xdr:sp macro="" textlink="">
      <xdr:nvSpPr>
        <xdr:cNvPr id="239" name="AutoShape 258" descr="+">
          <a:extLst>
            <a:ext uri="{FF2B5EF4-FFF2-40B4-BE49-F238E27FC236}">
              <a16:creationId xmlns:a16="http://schemas.microsoft.com/office/drawing/2014/main" id="{D056D05A-0F06-4387-BD71-0BDDC088A434}"/>
            </a:ext>
          </a:extLst>
        </xdr:cNvPr>
        <xdr:cNvSpPr>
          <a:spLocks noChangeAspect="1" noChangeArrowheads="1"/>
        </xdr:cNvSpPr>
      </xdr:nvSpPr>
      <xdr:spPr bwMode="auto">
        <a:xfrm>
          <a:off x="1885950" y="14363700"/>
          <a:ext cx="304800" cy="2717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181937</xdr:rowOff>
    </xdr:to>
    <xdr:sp macro="" textlink="">
      <xdr:nvSpPr>
        <xdr:cNvPr id="240" name="AutoShape 259" descr="+">
          <a:extLst>
            <a:ext uri="{FF2B5EF4-FFF2-40B4-BE49-F238E27FC236}">
              <a16:creationId xmlns:a16="http://schemas.microsoft.com/office/drawing/2014/main" id="{C0D8BF44-54A6-421B-A5E4-720419A99E12}"/>
            </a:ext>
          </a:extLst>
        </xdr:cNvPr>
        <xdr:cNvSpPr>
          <a:spLocks noChangeAspect="1" noChangeArrowheads="1"/>
        </xdr:cNvSpPr>
      </xdr:nvSpPr>
      <xdr:spPr bwMode="auto">
        <a:xfrm>
          <a:off x="1885950" y="14363700"/>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97321</xdr:rowOff>
    </xdr:to>
    <xdr:sp macro="" textlink="">
      <xdr:nvSpPr>
        <xdr:cNvPr id="241" name="AutoShape 260" descr="+">
          <a:extLst>
            <a:ext uri="{FF2B5EF4-FFF2-40B4-BE49-F238E27FC236}">
              <a16:creationId xmlns:a16="http://schemas.microsoft.com/office/drawing/2014/main" id="{DE2F23A8-863F-4BA8-AE39-422443F98357}"/>
            </a:ext>
          </a:extLst>
        </xdr:cNvPr>
        <xdr:cNvSpPr>
          <a:spLocks noChangeAspect="1" noChangeArrowheads="1"/>
        </xdr:cNvSpPr>
      </xdr:nvSpPr>
      <xdr:spPr bwMode="auto">
        <a:xfrm>
          <a:off x="1885950" y="143637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42" name="AutoShape 261" descr="+">
          <a:extLst>
            <a:ext uri="{FF2B5EF4-FFF2-40B4-BE49-F238E27FC236}">
              <a16:creationId xmlns:a16="http://schemas.microsoft.com/office/drawing/2014/main" id="{BF1B0113-6812-48C1-8CE6-ACA109094D97}"/>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43" name="AutoShape 262" descr="+">
          <a:extLst>
            <a:ext uri="{FF2B5EF4-FFF2-40B4-BE49-F238E27FC236}">
              <a16:creationId xmlns:a16="http://schemas.microsoft.com/office/drawing/2014/main" id="{3C34D504-09C8-43B4-8CE5-D869FFFDEC7E}"/>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165329</xdr:rowOff>
    </xdr:to>
    <xdr:sp macro="" textlink="">
      <xdr:nvSpPr>
        <xdr:cNvPr id="244" name="AutoShape 263" descr="+">
          <a:extLst>
            <a:ext uri="{FF2B5EF4-FFF2-40B4-BE49-F238E27FC236}">
              <a16:creationId xmlns:a16="http://schemas.microsoft.com/office/drawing/2014/main" id="{8C53C3A1-5E2D-4311-B3B5-8E2F096A019D}"/>
            </a:ext>
          </a:extLst>
        </xdr:cNvPr>
        <xdr:cNvSpPr>
          <a:spLocks noChangeAspect="1" noChangeArrowheads="1"/>
        </xdr:cNvSpPr>
      </xdr:nvSpPr>
      <xdr:spPr bwMode="auto">
        <a:xfrm>
          <a:off x="1885950" y="14363700"/>
          <a:ext cx="304800" cy="1653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165328</xdr:rowOff>
    </xdr:to>
    <xdr:sp macro="" textlink="">
      <xdr:nvSpPr>
        <xdr:cNvPr id="245" name="AutoShape 264" descr="+">
          <a:extLst>
            <a:ext uri="{FF2B5EF4-FFF2-40B4-BE49-F238E27FC236}">
              <a16:creationId xmlns:a16="http://schemas.microsoft.com/office/drawing/2014/main" id="{F63CCA87-B285-4860-B3C1-75C731FBDDAA}"/>
            </a:ext>
          </a:extLst>
        </xdr:cNvPr>
        <xdr:cNvSpPr>
          <a:spLocks noChangeAspect="1" noChangeArrowheads="1"/>
        </xdr:cNvSpPr>
      </xdr:nvSpPr>
      <xdr:spPr bwMode="auto">
        <a:xfrm>
          <a:off x="1885950" y="14363700"/>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204111</xdr:rowOff>
    </xdr:to>
    <xdr:sp macro="" textlink="">
      <xdr:nvSpPr>
        <xdr:cNvPr id="246" name="AutoShape 265" descr="+">
          <a:extLst>
            <a:ext uri="{FF2B5EF4-FFF2-40B4-BE49-F238E27FC236}">
              <a16:creationId xmlns:a16="http://schemas.microsoft.com/office/drawing/2014/main" id="{D148DFA8-6E6C-434F-AAA6-DC7546CF9AFD}"/>
            </a:ext>
          </a:extLst>
        </xdr:cNvPr>
        <xdr:cNvSpPr>
          <a:spLocks noChangeAspect="1" noChangeArrowheads="1"/>
        </xdr:cNvSpPr>
      </xdr:nvSpPr>
      <xdr:spPr bwMode="auto">
        <a:xfrm>
          <a:off x="1885950" y="14363700"/>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204106</xdr:rowOff>
    </xdr:to>
    <xdr:sp macro="" textlink="">
      <xdr:nvSpPr>
        <xdr:cNvPr id="247" name="AutoShape 266" descr="+">
          <a:extLst>
            <a:ext uri="{FF2B5EF4-FFF2-40B4-BE49-F238E27FC236}">
              <a16:creationId xmlns:a16="http://schemas.microsoft.com/office/drawing/2014/main" id="{A239D028-B4CD-4837-A4D8-F9F3F31CBE37}"/>
            </a:ext>
          </a:extLst>
        </xdr:cNvPr>
        <xdr:cNvSpPr>
          <a:spLocks noChangeAspect="1" noChangeArrowheads="1"/>
        </xdr:cNvSpPr>
      </xdr:nvSpPr>
      <xdr:spPr bwMode="auto">
        <a:xfrm>
          <a:off x="1885950" y="14363700"/>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204108</xdr:rowOff>
    </xdr:to>
    <xdr:sp macro="" textlink="">
      <xdr:nvSpPr>
        <xdr:cNvPr id="248" name="AutoShape 267" descr="+">
          <a:extLst>
            <a:ext uri="{FF2B5EF4-FFF2-40B4-BE49-F238E27FC236}">
              <a16:creationId xmlns:a16="http://schemas.microsoft.com/office/drawing/2014/main" id="{9EAE9E6B-04FF-4878-A2C6-6E7587FF0286}"/>
            </a:ext>
          </a:extLst>
        </xdr:cNvPr>
        <xdr:cNvSpPr>
          <a:spLocks noChangeAspect="1" noChangeArrowheads="1"/>
        </xdr:cNvSpPr>
      </xdr:nvSpPr>
      <xdr:spPr bwMode="auto">
        <a:xfrm>
          <a:off x="1885950" y="14363700"/>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204111</xdr:rowOff>
    </xdr:to>
    <xdr:sp macro="" textlink="">
      <xdr:nvSpPr>
        <xdr:cNvPr id="249" name="AutoShape 268" descr="+">
          <a:extLst>
            <a:ext uri="{FF2B5EF4-FFF2-40B4-BE49-F238E27FC236}">
              <a16:creationId xmlns:a16="http://schemas.microsoft.com/office/drawing/2014/main" id="{D59BB3B9-58D7-4381-8C96-2EAF269C7505}"/>
            </a:ext>
          </a:extLst>
        </xdr:cNvPr>
        <xdr:cNvSpPr>
          <a:spLocks noChangeAspect="1" noChangeArrowheads="1"/>
        </xdr:cNvSpPr>
      </xdr:nvSpPr>
      <xdr:spPr bwMode="auto">
        <a:xfrm>
          <a:off x="1885950" y="14363700"/>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204109</xdr:rowOff>
    </xdr:to>
    <xdr:sp macro="" textlink="">
      <xdr:nvSpPr>
        <xdr:cNvPr id="250" name="AutoShape 269" descr="+">
          <a:extLst>
            <a:ext uri="{FF2B5EF4-FFF2-40B4-BE49-F238E27FC236}">
              <a16:creationId xmlns:a16="http://schemas.microsoft.com/office/drawing/2014/main" id="{7B31A7A9-55FB-439A-8B4F-F5A30D0BC943}"/>
            </a:ext>
          </a:extLst>
        </xdr:cNvPr>
        <xdr:cNvSpPr>
          <a:spLocks noChangeAspect="1" noChangeArrowheads="1"/>
        </xdr:cNvSpPr>
      </xdr:nvSpPr>
      <xdr:spPr bwMode="auto">
        <a:xfrm>
          <a:off x="1885950" y="14363700"/>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204109</xdr:rowOff>
    </xdr:to>
    <xdr:sp macro="" textlink="">
      <xdr:nvSpPr>
        <xdr:cNvPr id="251" name="AutoShape 270" descr="+">
          <a:extLst>
            <a:ext uri="{FF2B5EF4-FFF2-40B4-BE49-F238E27FC236}">
              <a16:creationId xmlns:a16="http://schemas.microsoft.com/office/drawing/2014/main" id="{16931D8A-4FB5-4399-A7E4-A813D612CC39}"/>
            </a:ext>
          </a:extLst>
        </xdr:cNvPr>
        <xdr:cNvSpPr>
          <a:spLocks noChangeAspect="1" noChangeArrowheads="1"/>
        </xdr:cNvSpPr>
      </xdr:nvSpPr>
      <xdr:spPr bwMode="auto">
        <a:xfrm>
          <a:off x="1885950" y="14363700"/>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101403</xdr:rowOff>
    </xdr:to>
    <xdr:sp macro="" textlink="">
      <xdr:nvSpPr>
        <xdr:cNvPr id="252" name="AutoShape 271" descr="+">
          <a:extLst>
            <a:ext uri="{FF2B5EF4-FFF2-40B4-BE49-F238E27FC236}">
              <a16:creationId xmlns:a16="http://schemas.microsoft.com/office/drawing/2014/main" id="{E4C61156-67CA-4C4B-AC27-085C958AA6C6}"/>
            </a:ext>
          </a:extLst>
        </xdr:cNvPr>
        <xdr:cNvSpPr>
          <a:spLocks noChangeAspect="1" noChangeArrowheads="1"/>
        </xdr:cNvSpPr>
      </xdr:nvSpPr>
      <xdr:spPr bwMode="auto">
        <a:xfrm>
          <a:off x="1885950" y="14363700"/>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204109</xdr:rowOff>
    </xdr:to>
    <xdr:sp macro="" textlink="">
      <xdr:nvSpPr>
        <xdr:cNvPr id="253" name="AutoShape 272" descr="+">
          <a:extLst>
            <a:ext uri="{FF2B5EF4-FFF2-40B4-BE49-F238E27FC236}">
              <a16:creationId xmlns:a16="http://schemas.microsoft.com/office/drawing/2014/main" id="{4E147C30-D6F0-4C03-9EB0-CBBF0E5FD53D}"/>
            </a:ext>
          </a:extLst>
        </xdr:cNvPr>
        <xdr:cNvSpPr>
          <a:spLocks noChangeAspect="1" noChangeArrowheads="1"/>
        </xdr:cNvSpPr>
      </xdr:nvSpPr>
      <xdr:spPr bwMode="auto">
        <a:xfrm>
          <a:off x="1885950" y="14363700"/>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54" name="AutoShape 273" descr="+">
          <a:extLst>
            <a:ext uri="{FF2B5EF4-FFF2-40B4-BE49-F238E27FC236}">
              <a16:creationId xmlns:a16="http://schemas.microsoft.com/office/drawing/2014/main" id="{FC230C2E-BDC1-417D-9591-E573AD2DB442}"/>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55" name="AutoShape 274" descr="+">
          <a:extLst>
            <a:ext uri="{FF2B5EF4-FFF2-40B4-BE49-F238E27FC236}">
              <a16:creationId xmlns:a16="http://schemas.microsoft.com/office/drawing/2014/main" id="{158FBED5-58CD-4934-9C80-15F513D1CA4C}"/>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185297</xdr:rowOff>
    </xdr:to>
    <xdr:sp macro="" textlink="">
      <xdr:nvSpPr>
        <xdr:cNvPr id="256" name="AutoShape 275" descr="+">
          <a:extLst>
            <a:ext uri="{FF2B5EF4-FFF2-40B4-BE49-F238E27FC236}">
              <a16:creationId xmlns:a16="http://schemas.microsoft.com/office/drawing/2014/main" id="{C9999F55-81F7-48B5-92B1-AFBC816FE69F}"/>
            </a:ext>
          </a:extLst>
        </xdr:cNvPr>
        <xdr:cNvSpPr>
          <a:spLocks noChangeAspect="1" noChangeArrowheads="1"/>
        </xdr:cNvSpPr>
      </xdr:nvSpPr>
      <xdr:spPr bwMode="auto">
        <a:xfrm>
          <a:off x="1885950" y="14363700"/>
          <a:ext cx="304800" cy="1852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57" name="AutoShape 276" descr="+">
          <a:extLst>
            <a:ext uri="{FF2B5EF4-FFF2-40B4-BE49-F238E27FC236}">
              <a16:creationId xmlns:a16="http://schemas.microsoft.com/office/drawing/2014/main" id="{C9075CF5-9717-4905-BB0F-59A2F078B023}"/>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58" name="AutoShape 277" descr="+">
          <a:extLst>
            <a:ext uri="{FF2B5EF4-FFF2-40B4-BE49-F238E27FC236}">
              <a16:creationId xmlns:a16="http://schemas.microsoft.com/office/drawing/2014/main" id="{4765583C-FB92-49DB-9500-ED0A0A9FEC47}"/>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59" name="AutoShape 278" descr="+">
          <a:extLst>
            <a:ext uri="{FF2B5EF4-FFF2-40B4-BE49-F238E27FC236}">
              <a16:creationId xmlns:a16="http://schemas.microsoft.com/office/drawing/2014/main" id="{C02BDEBC-A01F-4D9B-8491-E7D1580485B0}"/>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191461</xdr:rowOff>
    </xdr:to>
    <xdr:sp macro="" textlink="">
      <xdr:nvSpPr>
        <xdr:cNvPr id="260" name="AutoShape 279" descr="+">
          <a:extLst>
            <a:ext uri="{FF2B5EF4-FFF2-40B4-BE49-F238E27FC236}">
              <a16:creationId xmlns:a16="http://schemas.microsoft.com/office/drawing/2014/main" id="{DBD42D21-87A9-487E-858F-77A099DA079D}"/>
            </a:ext>
          </a:extLst>
        </xdr:cNvPr>
        <xdr:cNvSpPr>
          <a:spLocks noChangeAspect="1" noChangeArrowheads="1"/>
        </xdr:cNvSpPr>
      </xdr:nvSpPr>
      <xdr:spPr bwMode="auto">
        <a:xfrm>
          <a:off x="1885950" y="14363700"/>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261" name="AutoShape 280" descr="+">
          <a:extLst>
            <a:ext uri="{FF2B5EF4-FFF2-40B4-BE49-F238E27FC236}">
              <a16:creationId xmlns:a16="http://schemas.microsoft.com/office/drawing/2014/main" id="{8DCE97D5-6EC4-4B22-96B4-6E65AE1FEDFC}"/>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62" name="AutoShape 281" descr="+">
          <a:extLst>
            <a:ext uri="{FF2B5EF4-FFF2-40B4-BE49-F238E27FC236}">
              <a16:creationId xmlns:a16="http://schemas.microsoft.com/office/drawing/2014/main" id="{F13156B9-E5B7-4E04-B6A9-295469557B0E}"/>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3443</xdr:rowOff>
    </xdr:to>
    <xdr:sp macro="" textlink="">
      <xdr:nvSpPr>
        <xdr:cNvPr id="263" name="AutoShape 282" descr="+">
          <a:extLst>
            <a:ext uri="{FF2B5EF4-FFF2-40B4-BE49-F238E27FC236}">
              <a16:creationId xmlns:a16="http://schemas.microsoft.com/office/drawing/2014/main" id="{D5C22E89-8D9B-495E-8F75-10365BE91C19}"/>
            </a:ext>
          </a:extLst>
        </xdr:cNvPr>
        <xdr:cNvSpPr>
          <a:spLocks noChangeAspect="1" noChangeArrowheads="1"/>
        </xdr:cNvSpPr>
      </xdr:nvSpPr>
      <xdr:spPr bwMode="auto">
        <a:xfrm>
          <a:off x="1885950" y="1436370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64" name="AutoShape 283" descr="+">
          <a:extLst>
            <a:ext uri="{FF2B5EF4-FFF2-40B4-BE49-F238E27FC236}">
              <a16:creationId xmlns:a16="http://schemas.microsoft.com/office/drawing/2014/main" id="{5A3142E9-91E1-4723-93EC-42C1C79D682B}"/>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65" name="AutoShape 284" descr="+">
          <a:extLst>
            <a:ext uri="{FF2B5EF4-FFF2-40B4-BE49-F238E27FC236}">
              <a16:creationId xmlns:a16="http://schemas.microsoft.com/office/drawing/2014/main" id="{8ADC155D-098B-4C34-B852-4E331D62D72C}"/>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181936</xdr:rowOff>
    </xdr:to>
    <xdr:sp macro="" textlink="">
      <xdr:nvSpPr>
        <xdr:cNvPr id="266" name="AutoShape 285" descr="+">
          <a:extLst>
            <a:ext uri="{FF2B5EF4-FFF2-40B4-BE49-F238E27FC236}">
              <a16:creationId xmlns:a16="http://schemas.microsoft.com/office/drawing/2014/main" id="{B3524175-4C15-4BA9-8BD7-29ACABC096F4}"/>
            </a:ext>
          </a:extLst>
        </xdr:cNvPr>
        <xdr:cNvSpPr>
          <a:spLocks noChangeAspect="1" noChangeArrowheads="1"/>
        </xdr:cNvSpPr>
      </xdr:nvSpPr>
      <xdr:spPr bwMode="auto">
        <a:xfrm>
          <a:off x="1885950" y="1436370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200704</xdr:rowOff>
    </xdr:to>
    <xdr:sp macro="" textlink="">
      <xdr:nvSpPr>
        <xdr:cNvPr id="267" name="AutoShape 286" descr="+">
          <a:extLst>
            <a:ext uri="{FF2B5EF4-FFF2-40B4-BE49-F238E27FC236}">
              <a16:creationId xmlns:a16="http://schemas.microsoft.com/office/drawing/2014/main" id="{8570227F-7039-437A-82DB-24BCEF676ABD}"/>
            </a:ext>
          </a:extLst>
        </xdr:cNvPr>
        <xdr:cNvSpPr>
          <a:spLocks noChangeAspect="1" noChangeArrowheads="1"/>
        </xdr:cNvSpPr>
      </xdr:nvSpPr>
      <xdr:spPr bwMode="auto">
        <a:xfrm>
          <a:off x="1885950" y="14363700"/>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200707</xdr:rowOff>
    </xdr:to>
    <xdr:sp macro="" textlink="">
      <xdr:nvSpPr>
        <xdr:cNvPr id="268" name="AutoShape 287" descr="+">
          <a:extLst>
            <a:ext uri="{FF2B5EF4-FFF2-40B4-BE49-F238E27FC236}">
              <a16:creationId xmlns:a16="http://schemas.microsoft.com/office/drawing/2014/main" id="{897F7BF7-1165-4A81-A430-EF3FEBA33664}"/>
            </a:ext>
          </a:extLst>
        </xdr:cNvPr>
        <xdr:cNvSpPr>
          <a:spLocks noChangeAspect="1" noChangeArrowheads="1"/>
        </xdr:cNvSpPr>
      </xdr:nvSpPr>
      <xdr:spPr bwMode="auto">
        <a:xfrm>
          <a:off x="1885950" y="14363700"/>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204107</xdr:rowOff>
    </xdr:to>
    <xdr:sp macro="" textlink="">
      <xdr:nvSpPr>
        <xdr:cNvPr id="269" name="AutoShape 288" descr="+">
          <a:extLst>
            <a:ext uri="{FF2B5EF4-FFF2-40B4-BE49-F238E27FC236}">
              <a16:creationId xmlns:a16="http://schemas.microsoft.com/office/drawing/2014/main" id="{D5B81712-8E3A-4373-BB20-69EE325B0E55}"/>
            </a:ext>
          </a:extLst>
        </xdr:cNvPr>
        <xdr:cNvSpPr>
          <a:spLocks noChangeAspect="1" noChangeArrowheads="1"/>
        </xdr:cNvSpPr>
      </xdr:nvSpPr>
      <xdr:spPr bwMode="auto">
        <a:xfrm>
          <a:off x="1885950" y="1436370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70" name="AutoShape 289" descr="+">
          <a:extLst>
            <a:ext uri="{FF2B5EF4-FFF2-40B4-BE49-F238E27FC236}">
              <a16:creationId xmlns:a16="http://schemas.microsoft.com/office/drawing/2014/main" id="{972E418C-B522-478D-8C24-9AE1D44CF3D5}"/>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71" name="AutoShape 290" descr="+">
          <a:extLst>
            <a:ext uri="{FF2B5EF4-FFF2-40B4-BE49-F238E27FC236}">
              <a16:creationId xmlns:a16="http://schemas.microsoft.com/office/drawing/2014/main" id="{2638DB25-5B3E-48D9-8536-ABAAFC2D204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72" name="AutoShape 291" descr="+">
          <a:extLst>
            <a:ext uri="{FF2B5EF4-FFF2-40B4-BE49-F238E27FC236}">
              <a16:creationId xmlns:a16="http://schemas.microsoft.com/office/drawing/2014/main" id="{6F6C4D78-6847-4F21-9185-2D41F4AA7C9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73" name="AutoShape 292" descr="+">
          <a:extLst>
            <a:ext uri="{FF2B5EF4-FFF2-40B4-BE49-F238E27FC236}">
              <a16:creationId xmlns:a16="http://schemas.microsoft.com/office/drawing/2014/main" id="{7E6968E6-6A42-441C-B49D-0D756139B585}"/>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74" name="AutoShape 293" descr="+">
          <a:extLst>
            <a:ext uri="{FF2B5EF4-FFF2-40B4-BE49-F238E27FC236}">
              <a16:creationId xmlns:a16="http://schemas.microsoft.com/office/drawing/2014/main" id="{5CCD8C9F-5D4E-4C3E-9CD5-AE02C3DBDC58}"/>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75" name="AutoShape 294" descr="+">
          <a:extLst>
            <a:ext uri="{FF2B5EF4-FFF2-40B4-BE49-F238E27FC236}">
              <a16:creationId xmlns:a16="http://schemas.microsoft.com/office/drawing/2014/main" id="{D400C023-6163-4012-B7AE-F7BCDB67BA79}"/>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97599</xdr:rowOff>
    </xdr:to>
    <xdr:sp macro="" textlink="">
      <xdr:nvSpPr>
        <xdr:cNvPr id="276" name="AutoShape 295" descr="+">
          <a:extLst>
            <a:ext uri="{FF2B5EF4-FFF2-40B4-BE49-F238E27FC236}">
              <a16:creationId xmlns:a16="http://schemas.microsoft.com/office/drawing/2014/main" id="{D988E7F7-0B86-42C5-BB68-EFE7E833DBA4}"/>
            </a:ext>
          </a:extLst>
        </xdr:cNvPr>
        <xdr:cNvSpPr>
          <a:spLocks noChangeAspect="1" noChangeArrowheads="1"/>
        </xdr:cNvSpPr>
      </xdr:nvSpPr>
      <xdr:spPr bwMode="auto">
        <a:xfrm>
          <a:off x="1885950" y="14363700"/>
          <a:ext cx="304800" cy="3050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277" name="AutoShape 296" descr="+">
          <a:extLst>
            <a:ext uri="{FF2B5EF4-FFF2-40B4-BE49-F238E27FC236}">
              <a16:creationId xmlns:a16="http://schemas.microsoft.com/office/drawing/2014/main" id="{025A30C9-8A20-4153-8E70-39E67B3B3DD1}"/>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98998</xdr:rowOff>
    </xdr:to>
    <xdr:sp macro="" textlink="">
      <xdr:nvSpPr>
        <xdr:cNvPr id="278" name="AutoShape 297" descr="+">
          <a:extLst>
            <a:ext uri="{FF2B5EF4-FFF2-40B4-BE49-F238E27FC236}">
              <a16:creationId xmlns:a16="http://schemas.microsoft.com/office/drawing/2014/main" id="{154573C4-569E-47C1-A2E3-6EF781331B5D}"/>
            </a:ext>
          </a:extLst>
        </xdr:cNvPr>
        <xdr:cNvSpPr>
          <a:spLocks noChangeAspect="1" noChangeArrowheads="1"/>
        </xdr:cNvSpPr>
      </xdr:nvSpPr>
      <xdr:spPr bwMode="auto">
        <a:xfrm>
          <a:off x="1885950" y="14363700"/>
          <a:ext cx="304800" cy="3064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79" name="AutoShape 298" descr="+">
          <a:extLst>
            <a:ext uri="{FF2B5EF4-FFF2-40B4-BE49-F238E27FC236}">
              <a16:creationId xmlns:a16="http://schemas.microsoft.com/office/drawing/2014/main" id="{1C7E1A84-07BF-493A-9FCB-F86B90DF287E}"/>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13</xdr:row>
      <xdr:rowOff>0</xdr:rowOff>
    </xdr:from>
    <xdr:ext cx="304800" cy="166687"/>
    <xdr:sp macro="" textlink="">
      <xdr:nvSpPr>
        <xdr:cNvPr id="280" name="AutoShape 80" descr="+">
          <a:extLst>
            <a:ext uri="{FF2B5EF4-FFF2-40B4-BE49-F238E27FC236}">
              <a16:creationId xmlns:a16="http://schemas.microsoft.com/office/drawing/2014/main" id="{2460690B-EFD9-424B-AFCC-E8FED7C2DF04}"/>
            </a:ext>
          </a:extLst>
        </xdr:cNvPr>
        <xdr:cNvSpPr>
          <a:spLocks noChangeAspect="1" noChangeArrowheads="1"/>
        </xdr:cNvSpPr>
      </xdr:nvSpPr>
      <xdr:spPr bwMode="auto">
        <a:xfrm>
          <a:off x="1885950" y="1436370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1496786</xdr:colOff>
      <xdr:row>13</xdr:row>
      <xdr:rowOff>0</xdr:rowOff>
    </xdr:from>
    <xdr:ext cx="304800" cy="166687"/>
    <xdr:sp macro="" textlink="">
      <xdr:nvSpPr>
        <xdr:cNvPr id="281" name="AutoShape 80" descr="+">
          <a:extLst>
            <a:ext uri="{FF2B5EF4-FFF2-40B4-BE49-F238E27FC236}">
              <a16:creationId xmlns:a16="http://schemas.microsoft.com/office/drawing/2014/main" id="{A17B50F5-F34F-4D1A-A956-5D321CB9B4E1}"/>
            </a:ext>
          </a:extLst>
        </xdr:cNvPr>
        <xdr:cNvSpPr>
          <a:spLocks noChangeAspect="1" noChangeArrowheads="1"/>
        </xdr:cNvSpPr>
      </xdr:nvSpPr>
      <xdr:spPr bwMode="auto">
        <a:xfrm>
          <a:off x="3382736" y="1436370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286" name="AutoShape 4" descr="+">
          <a:extLst>
            <a:ext uri="{FF2B5EF4-FFF2-40B4-BE49-F238E27FC236}">
              <a16:creationId xmlns:a16="http://schemas.microsoft.com/office/drawing/2014/main" id="{ADA9691B-6907-4484-9394-B6CECEEF08E0}"/>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287" name="AutoShape 5" descr="+">
          <a:extLst>
            <a:ext uri="{FF2B5EF4-FFF2-40B4-BE49-F238E27FC236}">
              <a16:creationId xmlns:a16="http://schemas.microsoft.com/office/drawing/2014/main" id="{3974AB13-94AB-4A8D-B8E3-D63D1E393AC9}"/>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7"/>
    <xdr:sp macro="" textlink="">
      <xdr:nvSpPr>
        <xdr:cNvPr id="288" name="AutoShape 6" descr="+">
          <a:extLst>
            <a:ext uri="{FF2B5EF4-FFF2-40B4-BE49-F238E27FC236}">
              <a16:creationId xmlns:a16="http://schemas.microsoft.com/office/drawing/2014/main" id="{81F26839-F8AE-41BE-8AE3-0B55898FFB67}"/>
            </a:ext>
          </a:extLst>
        </xdr:cNvPr>
        <xdr:cNvSpPr>
          <a:spLocks noChangeAspect="1" noChangeArrowheads="1"/>
        </xdr:cNvSpPr>
      </xdr:nvSpPr>
      <xdr:spPr bwMode="auto">
        <a:xfrm>
          <a:off x="1885950" y="2695575"/>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4665"/>
    <xdr:sp macro="" textlink="">
      <xdr:nvSpPr>
        <xdr:cNvPr id="289" name="AutoShape 7" descr="+">
          <a:extLst>
            <a:ext uri="{FF2B5EF4-FFF2-40B4-BE49-F238E27FC236}">
              <a16:creationId xmlns:a16="http://schemas.microsoft.com/office/drawing/2014/main" id="{DA2886FC-F926-445C-829D-B18048D9363D}"/>
            </a:ext>
          </a:extLst>
        </xdr:cNvPr>
        <xdr:cNvSpPr>
          <a:spLocks noChangeAspect="1" noChangeArrowheads="1"/>
        </xdr:cNvSpPr>
      </xdr:nvSpPr>
      <xdr:spPr bwMode="auto">
        <a:xfrm>
          <a:off x="1885950" y="2695575"/>
          <a:ext cx="304800" cy="1746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8"/>
    <xdr:sp macro="" textlink="">
      <xdr:nvSpPr>
        <xdr:cNvPr id="290" name="AutoShape 8" descr="+">
          <a:extLst>
            <a:ext uri="{FF2B5EF4-FFF2-40B4-BE49-F238E27FC236}">
              <a16:creationId xmlns:a16="http://schemas.microsoft.com/office/drawing/2014/main" id="{5605B510-7BE5-4CC5-847B-088995FA334B}"/>
            </a:ext>
          </a:extLst>
        </xdr:cNvPr>
        <xdr:cNvSpPr>
          <a:spLocks noChangeAspect="1" noChangeArrowheads="1"/>
        </xdr:cNvSpPr>
      </xdr:nvSpPr>
      <xdr:spPr bwMode="auto">
        <a:xfrm>
          <a:off x="1885950" y="2695575"/>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5"/>
    <xdr:sp macro="" textlink="">
      <xdr:nvSpPr>
        <xdr:cNvPr id="291" name="AutoShape 9" descr="+">
          <a:extLst>
            <a:ext uri="{FF2B5EF4-FFF2-40B4-BE49-F238E27FC236}">
              <a16:creationId xmlns:a16="http://schemas.microsoft.com/office/drawing/2014/main" id="{B9C8C507-D571-4FCB-AE50-6F12C1AD1521}"/>
            </a:ext>
          </a:extLst>
        </xdr:cNvPr>
        <xdr:cNvSpPr>
          <a:spLocks noChangeAspect="1" noChangeArrowheads="1"/>
        </xdr:cNvSpPr>
      </xdr:nvSpPr>
      <xdr:spPr bwMode="auto">
        <a:xfrm>
          <a:off x="1885950" y="2695575"/>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8"/>
    <xdr:sp macro="" textlink="">
      <xdr:nvSpPr>
        <xdr:cNvPr id="292" name="AutoShape 10" descr="+">
          <a:extLst>
            <a:ext uri="{FF2B5EF4-FFF2-40B4-BE49-F238E27FC236}">
              <a16:creationId xmlns:a16="http://schemas.microsoft.com/office/drawing/2014/main" id="{D7AA8823-6EBE-45CD-8C85-16296CBE867B}"/>
            </a:ext>
          </a:extLst>
        </xdr:cNvPr>
        <xdr:cNvSpPr>
          <a:spLocks noChangeAspect="1" noChangeArrowheads="1"/>
        </xdr:cNvSpPr>
      </xdr:nvSpPr>
      <xdr:spPr bwMode="auto">
        <a:xfrm>
          <a:off x="1885950" y="2695575"/>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2180"/>
    <xdr:sp macro="" textlink="">
      <xdr:nvSpPr>
        <xdr:cNvPr id="293" name="AutoShape 11" descr="+">
          <a:extLst>
            <a:ext uri="{FF2B5EF4-FFF2-40B4-BE49-F238E27FC236}">
              <a16:creationId xmlns:a16="http://schemas.microsoft.com/office/drawing/2014/main" id="{6A55282E-D5E8-4571-9163-C5F949CEEFAE}"/>
            </a:ext>
          </a:extLst>
        </xdr:cNvPr>
        <xdr:cNvSpPr>
          <a:spLocks noChangeAspect="1" noChangeArrowheads="1"/>
        </xdr:cNvSpPr>
      </xdr:nvSpPr>
      <xdr:spPr bwMode="auto">
        <a:xfrm>
          <a:off x="1885950" y="2695575"/>
          <a:ext cx="304800" cy="192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70548"/>
    <xdr:sp macro="" textlink="">
      <xdr:nvSpPr>
        <xdr:cNvPr id="294" name="AutoShape 12" descr="+">
          <a:extLst>
            <a:ext uri="{FF2B5EF4-FFF2-40B4-BE49-F238E27FC236}">
              <a16:creationId xmlns:a16="http://schemas.microsoft.com/office/drawing/2014/main" id="{5BE43840-372F-40E3-8B95-32EE371394E3}"/>
            </a:ext>
          </a:extLst>
        </xdr:cNvPr>
        <xdr:cNvSpPr>
          <a:spLocks noChangeAspect="1" noChangeArrowheads="1"/>
        </xdr:cNvSpPr>
      </xdr:nvSpPr>
      <xdr:spPr bwMode="auto">
        <a:xfrm>
          <a:off x="1885950" y="2695575"/>
          <a:ext cx="304800" cy="2705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3131"/>
    <xdr:sp macro="" textlink="">
      <xdr:nvSpPr>
        <xdr:cNvPr id="295" name="AutoShape 13" descr="+">
          <a:extLst>
            <a:ext uri="{FF2B5EF4-FFF2-40B4-BE49-F238E27FC236}">
              <a16:creationId xmlns:a16="http://schemas.microsoft.com/office/drawing/2014/main" id="{2AA86D11-79B1-429E-AE61-349DDC77D0A5}"/>
            </a:ext>
          </a:extLst>
        </xdr:cNvPr>
        <xdr:cNvSpPr>
          <a:spLocks noChangeAspect="1" noChangeArrowheads="1"/>
        </xdr:cNvSpPr>
      </xdr:nvSpPr>
      <xdr:spPr bwMode="auto">
        <a:xfrm>
          <a:off x="1885950" y="2695575"/>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8"/>
    <xdr:sp macro="" textlink="">
      <xdr:nvSpPr>
        <xdr:cNvPr id="296" name="AutoShape 14" descr="+">
          <a:extLst>
            <a:ext uri="{FF2B5EF4-FFF2-40B4-BE49-F238E27FC236}">
              <a16:creationId xmlns:a16="http://schemas.microsoft.com/office/drawing/2014/main" id="{66DEEC65-2208-46D5-98EC-5B0E04500EB1}"/>
            </a:ext>
          </a:extLst>
        </xdr:cNvPr>
        <xdr:cNvSpPr>
          <a:spLocks noChangeAspect="1" noChangeArrowheads="1"/>
        </xdr:cNvSpPr>
      </xdr:nvSpPr>
      <xdr:spPr bwMode="auto">
        <a:xfrm>
          <a:off x="1885950" y="2695575"/>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5"/>
    <xdr:sp macro="" textlink="">
      <xdr:nvSpPr>
        <xdr:cNvPr id="297" name="AutoShape 15" descr="+">
          <a:extLst>
            <a:ext uri="{FF2B5EF4-FFF2-40B4-BE49-F238E27FC236}">
              <a16:creationId xmlns:a16="http://schemas.microsoft.com/office/drawing/2014/main" id="{98559342-ACC7-4786-BFDD-92DE33AE3F03}"/>
            </a:ext>
          </a:extLst>
        </xdr:cNvPr>
        <xdr:cNvSpPr>
          <a:spLocks noChangeAspect="1" noChangeArrowheads="1"/>
        </xdr:cNvSpPr>
      </xdr:nvSpPr>
      <xdr:spPr bwMode="auto">
        <a:xfrm>
          <a:off x="1885950" y="2695575"/>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901"/>
    <xdr:sp macro="" textlink="">
      <xdr:nvSpPr>
        <xdr:cNvPr id="298" name="AutoShape 16" descr="+">
          <a:extLst>
            <a:ext uri="{FF2B5EF4-FFF2-40B4-BE49-F238E27FC236}">
              <a16:creationId xmlns:a16="http://schemas.microsoft.com/office/drawing/2014/main" id="{8F296BD1-0669-4B2D-9C8B-74EE0A2CBC81}"/>
            </a:ext>
          </a:extLst>
        </xdr:cNvPr>
        <xdr:cNvSpPr>
          <a:spLocks noChangeAspect="1" noChangeArrowheads="1"/>
        </xdr:cNvSpPr>
      </xdr:nvSpPr>
      <xdr:spPr bwMode="auto">
        <a:xfrm>
          <a:off x="1885950" y="2695575"/>
          <a:ext cx="304800" cy="1919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8133"/>
    <xdr:sp macro="" textlink="">
      <xdr:nvSpPr>
        <xdr:cNvPr id="299" name="AutoShape 17" descr="+">
          <a:extLst>
            <a:ext uri="{FF2B5EF4-FFF2-40B4-BE49-F238E27FC236}">
              <a16:creationId xmlns:a16="http://schemas.microsoft.com/office/drawing/2014/main" id="{B217A801-EFD3-4EED-BCFD-A3CB0D55A78E}"/>
            </a:ext>
          </a:extLst>
        </xdr:cNvPr>
        <xdr:cNvSpPr>
          <a:spLocks noChangeAspect="1" noChangeArrowheads="1"/>
        </xdr:cNvSpPr>
      </xdr:nvSpPr>
      <xdr:spPr bwMode="auto">
        <a:xfrm>
          <a:off x="1885950" y="2695575"/>
          <a:ext cx="304800" cy="178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8135"/>
    <xdr:sp macro="" textlink="">
      <xdr:nvSpPr>
        <xdr:cNvPr id="300" name="AutoShape 18" descr="+">
          <a:extLst>
            <a:ext uri="{FF2B5EF4-FFF2-40B4-BE49-F238E27FC236}">
              <a16:creationId xmlns:a16="http://schemas.microsoft.com/office/drawing/2014/main" id="{70AF4F13-49C5-4EF4-A2B3-4FCE9B17E601}"/>
            </a:ext>
          </a:extLst>
        </xdr:cNvPr>
        <xdr:cNvSpPr>
          <a:spLocks noChangeAspect="1" noChangeArrowheads="1"/>
        </xdr:cNvSpPr>
      </xdr:nvSpPr>
      <xdr:spPr bwMode="auto">
        <a:xfrm>
          <a:off x="1885950" y="2695575"/>
          <a:ext cx="304800" cy="1781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9535"/>
    <xdr:sp macro="" textlink="">
      <xdr:nvSpPr>
        <xdr:cNvPr id="301" name="AutoShape 19" descr="+">
          <a:extLst>
            <a:ext uri="{FF2B5EF4-FFF2-40B4-BE49-F238E27FC236}">
              <a16:creationId xmlns:a16="http://schemas.microsoft.com/office/drawing/2014/main" id="{1B1FF877-43DA-4F7F-88A0-A35650EC8AE8}"/>
            </a:ext>
          </a:extLst>
        </xdr:cNvPr>
        <xdr:cNvSpPr>
          <a:spLocks noChangeAspect="1" noChangeArrowheads="1"/>
        </xdr:cNvSpPr>
      </xdr:nvSpPr>
      <xdr:spPr bwMode="auto">
        <a:xfrm>
          <a:off x="1885950" y="2695575"/>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8132"/>
    <xdr:sp macro="" textlink="">
      <xdr:nvSpPr>
        <xdr:cNvPr id="302" name="AutoShape 20" descr="+">
          <a:extLst>
            <a:ext uri="{FF2B5EF4-FFF2-40B4-BE49-F238E27FC236}">
              <a16:creationId xmlns:a16="http://schemas.microsoft.com/office/drawing/2014/main" id="{615B8919-F4C9-4EBD-B77C-B9F84E2A81C3}"/>
            </a:ext>
          </a:extLst>
        </xdr:cNvPr>
        <xdr:cNvSpPr>
          <a:spLocks noChangeAspect="1" noChangeArrowheads="1"/>
        </xdr:cNvSpPr>
      </xdr:nvSpPr>
      <xdr:spPr bwMode="auto">
        <a:xfrm>
          <a:off x="1885950" y="2695575"/>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12"/>
    <xdr:sp macro="" textlink="">
      <xdr:nvSpPr>
        <xdr:cNvPr id="303" name="AutoShape 21" descr="+">
          <a:extLst>
            <a:ext uri="{FF2B5EF4-FFF2-40B4-BE49-F238E27FC236}">
              <a16:creationId xmlns:a16="http://schemas.microsoft.com/office/drawing/2014/main" id="{C9CCA724-EA89-497D-A40A-08E3828E7086}"/>
            </a:ext>
          </a:extLst>
        </xdr:cNvPr>
        <xdr:cNvSpPr>
          <a:spLocks noChangeAspect="1" noChangeArrowheads="1"/>
        </xdr:cNvSpPr>
      </xdr:nvSpPr>
      <xdr:spPr bwMode="auto">
        <a:xfrm>
          <a:off x="1885950" y="2695575"/>
          <a:ext cx="304800" cy="208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07"/>
    <xdr:sp macro="" textlink="">
      <xdr:nvSpPr>
        <xdr:cNvPr id="304" name="AutoShape 22" descr="+">
          <a:extLst>
            <a:ext uri="{FF2B5EF4-FFF2-40B4-BE49-F238E27FC236}">
              <a16:creationId xmlns:a16="http://schemas.microsoft.com/office/drawing/2014/main" id="{1FD0088D-2D6F-4718-B09A-4C38EE2C3BAD}"/>
            </a:ext>
          </a:extLst>
        </xdr:cNvPr>
        <xdr:cNvSpPr>
          <a:spLocks noChangeAspect="1" noChangeArrowheads="1"/>
        </xdr:cNvSpPr>
      </xdr:nvSpPr>
      <xdr:spPr bwMode="auto">
        <a:xfrm>
          <a:off x="1885950" y="2695575"/>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11"/>
    <xdr:sp macro="" textlink="">
      <xdr:nvSpPr>
        <xdr:cNvPr id="305" name="AutoShape 23" descr="+">
          <a:extLst>
            <a:ext uri="{FF2B5EF4-FFF2-40B4-BE49-F238E27FC236}">
              <a16:creationId xmlns:a16="http://schemas.microsoft.com/office/drawing/2014/main" id="{BE1EA1AF-690A-49DA-AEC6-2B4AA289E67A}"/>
            </a:ext>
          </a:extLst>
        </xdr:cNvPr>
        <xdr:cNvSpPr>
          <a:spLocks noChangeAspect="1" noChangeArrowheads="1"/>
        </xdr:cNvSpPr>
      </xdr:nvSpPr>
      <xdr:spPr bwMode="auto">
        <a:xfrm>
          <a:off x="1885950" y="2695575"/>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8584"/>
    <xdr:sp macro="" textlink="">
      <xdr:nvSpPr>
        <xdr:cNvPr id="306" name="AutoShape 24" descr="+">
          <a:extLst>
            <a:ext uri="{FF2B5EF4-FFF2-40B4-BE49-F238E27FC236}">
              <a16:creationId xmlns:a16="http://schemas.microsoft.com/office/drawing/2014/main" id="{097818FB-4B49-426E-8AEB-E6BC0C675F90}"/>
            </a:ext>
          </a:extLst>
        </xdr:cNvPr>
        <xdr:cNvSpPr>
          <a:spLocks noChangeAspect="1" noChangeArrowheads="1"/>
        </xdr:cNvSpPr>
      </xdr:nvSpPr>
      <xdr:spPr bwMode="auto">
        <a:xfrm>
          <a:off x="1885950" y="2695575"/>
          <a:ext cx="304800" cy="1985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10"/>
    <xdr:sp macro="" textlink="">
      <xdr:nvSpPr>
        <xdr:cNvPr id="307" name="AutoShape 25" descr="+">
          <a:extLst>
            <a:ext uri="{FF2B5EF4-FFF2-40B4-BE49-F238E27FC236}">
              <a16:creationId xmlns:a16="http://schemas.microsoft.com/office/drawing/2014/main" id="{AE90C56B-9AF3-4100-AAE1-21161DFEBFC8}"/>
            </a:ext>
          </a:extLst>
        </xdr:cNvPr>
        <xdr:cNvSpPr>
          <a:spLocks noChangeAspect="1" noChangeArrowheads="1"/>
        </xdr:cNvSpPr>
      </xdr:nvSpPr>
      <xdr:spPr bwMode="auto">
        <a:xfrm>
          <a:off x="1885950" y="2695575"/>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10"/>
    <xdr:sp macro="" textlink="">
      <xdr:nvSpPr>
        <xdr:cNvPr id="308" name="AutoShape 26" descr="+">
          <a:extLst>
            <a:ext uri="{FF2B5EF4-FFF2-40B4-BE49-F238E27FC236}">
              <a16:creationId xmlns:a16="http://schemas.microsoft.com/office/drawing/2014/main" id="{1BE2BCC6-ACDC-44F6-9DC4-9AC04A879007}"/>
            </a:ext>
          </a:extLst>
        </xdr:cNvPr>
        <xdr:cNvSpPr>
          <a:spLocks noChangeAspect="1" noChangeArrowheads="1"/>
        </xdr:cNvSpPr>
      </xdr:nvSpPr>
      <xdr:spPr bwMode="auto">
        <a:xfrm>
          <a:off x="1885950" y="2695575"/>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9535"/>
    <xdr:sp macro="" textlink="">
      <xdr:nvSpPr>
        <xdr:cNvPr id="309" name="AutoShape 27" descr="+">
          <a:extLst>
            <a:ext uri="{FF2B5EF4-FFF2-40B4-BE49-F238E27FC236}">
              <a16:creationId xmlns:a16="http://schemas.microsoft.com/office/drawing/2014/main" id="{313A0E8E-619E-4737-94EA-86FE65DDA531}"/>
            </a:ext>
          </a:extLst>
        </xdr:cNvPr>
        <xdr:cNvSpPr>
          <a:spLocks noChangeAspect="1" noChangeArrowheads="1"/>
        </xdr:cNvSpPr>
      </xdr:nvSpPr>
      <xdr:spPr bwMode="auto">
        <a:xfrm>
          <a:off x="1885950" y="2695575"/>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07"/>
    <xdr:sp macro="" textlink="">
      <xdr:nvSpPr>
        <xdr:cNvPr id="310" name="AutoShape 28" descr="+">
          <a:extLst>
            <a:ext uri="{FF2B5EF4-FFF2-40B4-BE49-F238E27FC236}">
              <a16:creationId xmlns:a16="http://schemas.microsoft.com/office/drawing/2014/main" id="{64FBFB58-92D7-4AB7-A996-9826A4DFA5FA}"/>
            </a:ext>
          </a:extLst>
        </xdr:cNvPr>
        <xdr:cNvSpPr>
          <a:spLocks noChangeAspect="1" noChangeArrowheads="1"/>
        </xdr:cNvSpPr>
      </xdr:nvSpPr>
      <xdr:spPr bwMode="auto">
        <a:xfrm>
          <a:off x="1885950" y="2695575"/>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11"/>
    <xdr:sp macro="" textlink="">
      <xdr:nvSpPr>
        <xdr:cNvPr id="311" name="AutoShape 29" descr="+">
          <a:extLst>
            <a:ext uri="{FF2B5EF4-FFF2-40B4-BE49-F238E27FC236}">
              <a16:creationId xmlns:a16="http://schemas.microsoft.com/office/drawing/2014/main" id="{6803D026-FABA-48F6-8510-58B4C19A63EA}"/>
            </a:ext>
          </a:extLst>
        </xdr:cNvPr>
        <xdr:cNvSpPr>
          <a:spLocks noChangeAspect="1" noChangeArrowheads="1"/>
        </xdr:cNvSpPr>
      </xdr:nvSpPr>
      <xdr:spPr bwMode="auto">
        <a:xfrm>
          <a:off x="1885950" y="2695575"/>
          <a:ext cx="304800" cy="2017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12" name="AutoShape 30" descr="+">
          <a:extLst>
            <a:ext uri="{FF2B5EF4-FFF2-40B4-BE49-F238E27FC236}">
              <a16:creationId xmlns:a16="http://schemas.microsoft.com/office/drawing/2014/main" id="{11CC836C-80B7-471E-86E8-C6FE13CBE7F8}"/>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13" name="AutoShape 31" descr="+">
          <a:extLst>
            <a:ext uri="{FF2B5EF4-FFF2-40B4-BE49-F238E27FC236}">
              <a16:creationId xmlns:a16="http://schemas.microsoft.com/office/drawing/2014/main" id="{33F82BDE-6376-41BD-9BAB-580C5EE92A15}"/>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14" name="AutoShape 32" descr="+">
          <a:extLst>
            <a:ext uri="{FF2B5EF4-FFF2-40B4-BE49-F238E27FC236}">
              <a16:creationId xmlns:a16="http://schemas.microsoft.com/office/drawing/2014/main" id="{FAF5C30C-E779-4B6D-AF24-092A5CF4994E}"/>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3088"/>
    <xdr:sp macro="" textlink="">
      <xdr:nvSpPr>
        <xdr:cNvPr id="315" name="AutoShape 33" descr="+">
          <a:extLst>
            <a:ext uri="{FF2B5EF4-FFF2-40B4-BE49-F238E27FC236}">
              <a16:creationId xmlns:a16="http://schemas.microsoft.com/office/drawing/2014/main" id="{F6F27BEE-E310-4815-B3F2-BACE9161C213}"/>
            </a:ext>
          </a:extLst>
        </xdr:cNvPr>
        <xdr:cNvSpPr>
          <a:spLocks noChangeAspect="1" noChangeArrowheads="1"/>
        </xdr:cNvSpPr>
      </xdr:nvSpPr>
      <xdr:spPr bwMode="auto">
        <a:xfrm>
          <a:off x="1885950" y="2695575"/>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316" name="AutoShape 34" descr="+">
          <a:extLst>
            <a:ext uri="{FF2B5EF4-FFF2-40B4-BE49-F238E27FC236}">
              <a16:creationId xmlns:a16="http://schemas.microsoft.com/office/drawing/2014/main" id="{35D8CE74-C46C-4377-B4E9-37E3560E0508}"/>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17" name="AutoShape 52" descr="+">
          <a:extLst>
            <a:ext uri="{FF2B5EF4-FFF2-40B4-BE49-F238E27FC236}">
              <a16:creationId xmlns:a16="http://schemas.microsoft.com/office/drawing/2014/main" id="{67EB8574-219B-4F20-8446-75EB0CBCB0EE}"/>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18" name="AutoShape 53" descr="+">
          <a:extLst>
            <a:ext uri="{FF2B5EF4-FFF2-40B4-BE49-F238E27FC236}">
              <a16:creationId xmlns:a16="http://schemas.microsoft.com/office/drawing/2014/main" id="{4E32CCEE-09C1-4435-A0B1-CFD416046E15}"/>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8"/>
    <xdr:sp macro="" textlink="">
      <xdr:nvSpPr>
        <xdr:cNvPr id="319" name="AutoShape 54" descr="+">
          <a:extLst>
            <a:ext uri="{FF2B5EF4-FFF2-40B4-BE49-F238E27FC236}">
              <a16:creationId xmlns:a16="http://schemas.microsoft.com/office/drawing/2014/main" id="{CF71B1EE-2051-4A04-9B93-3AF5B5DDCA6C}"/>
            </a:ext>
          </a:extLst>
        </xdr:cNvPr>
        <xdr:cNvSpPr>
          <a:spLocks noChangeAspect="1" noChangeArrowheads="1"/>
        </xdr:cNvSpPr>
      </xdr:nvSpPr>
      <xdr:spPr bwMode="auto">
        <a:xfrm>
          <a:off x="1885950" y="2695575"/>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20" name="AutoShape 55" descr="+">
          <a:extLst>
            <a:ext uri="{FF2B5EF4-FFF2-40B4-BE49-F238E27FC236}">
              <a16:creationId xmlns:a16="http://schemas.microsoft.com/office/drawing/2014/main" id="{5C744ECB-5D45-4734-B67A-294460259BFA}"/>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21" name="AutoShape 56" descr="+">
          <a:extLst>
            <a:ext uri="{FF2B5EF4-FFF2-40B4-BE49-F238E27FC236}">
              <a16:creationId xmlns:a16="http://schemas.microsoft.com/office/drawing/2014/main" id="{D5A0EEF4-F985-4B3C-A8F8-3788F9E09920}"/>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22" name="AutoShape 57" descr="+">
          <a:extLst>
            <a:ext uri="{FF2B5EF4-FFF2-40B4-BE49-F238E27FC236}">
              <a16:creationId xmlns:a16="http://schemas.microsoft.com/office/drawing/2014/main" id="{0B928C3E-BFB6-400C-8F8C-DBCD15C3D119}"/>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23" name="AutoShape 58" descr="+">
          <a:extLst>
            <a:ext uri="{FF2B5EF4-FFF2-40B4-BE49-F238E27FC236}">
              <a16:creationId xmlns:a16="http://schemas.microsoft.com/office/drawing/2014/main" id="{BD848346-7922-44F6-AA6E-86832470E615}"/>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1"/>
    <xdr:sp macro="" textlink="">
      <xdr:nvSpPr>
        <xdr:cNvPr id="324" name="AutoShape 59" descr="+">
          <a:extLst>
            <a:ext uri="{FF2B5EF4-FFF2-40B4-BE49-F238E27FC236}">
              <a16:creationId xmlns:a16="http://schemas.microsoft.com/office/drawing/2014/main" id="{DE1DDB2F-4BEA-4E36-BE08-04FB796922DB}"/>
            </a:ext>
          </a:extLst>
        </xdr:cNvPr>
        <xdr:cNvSpPr>
          <a:spLocks noChangeAspect="1" noChangeArrowheads="1"/>
        </xdr:cNvSpPr>
      </xdr:nvSpPr>
      <xdr:spPr bwMode="auto">
        <a:xfrm>
          <a:off x="1885950" y="269557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7"/>
    <xdr:sp macro="" textlink="">
      <xdr:nvSpPr>
        <xdr:cNvPr id="325" name="AutoShape 60" descr="+">
          <a:extLst>
            <a:ext uri="{FF2B5EF4-FFF2-40B4-BE49-F238E27FC236}">
              <a16:creationId xmlns:a16="http://schemas.microsoft.com/office/drawing/2014/main" id="{26D2424B-FB4E-4814-8949-3CC19A4283AD}"/>
            </a:ext>
          </a:extLst>
        </xdr:cNvPr>
        <xdr:cNvSpPr>
          <a:spLocks noChangeAspect="1" noChangeArrowheads="1"/>
        </xdr:cNvSpPr>
      </xdr:nvSpPr>
      <xdr:spPr bwMode="auto">
        <a:xfrm>
          <a:off x="1885950" y="269557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26" name="AutoShape 61" descr="+">
          <a:extLst>
            <a:ext uri="{FF2B5EF4-FFF2-40B4-BE49-F238E27FC236}">
              <a16:creationId xmlns:a16="http://schemas.microsoft.com/office/drawing/2014/main" id="{CAD482E6-2516-4799-BC75-E59EF146BC36}"/>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27" name="AutoShape 62" descr="+">
          <a:extLst>
            <a:ext uri="{FF2B5EF4-FFF2-40B4-BE49-F238E27FC236}">
              <a16:creationId xmlns:a16="http://schemas.microsoft.com/office/drawing/2014/main" id="{663C2A07-9E4A-4142-B96F-A4E703E7A5A7}"/>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28" name="AutoShape 63" descr="+">
          <a:extLst>
            <a:ext uri="{FF2B5EF4-FFF2-40B4-BE49-F238E27FC236}">
              <a16:creationId xmlns:a16="http://schemas.microsoft.com/office/drawing/2014/main" id="{EF65175A-F8EB-4F8E-903C-733FE4C496B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29" name="AutoShape 64" descr="+">
          <a:extLst>
            <a:ext uri="{FF2B5EF4-FFF2-40B4-BE49-F238E27FC236}">
              <a16:creationId xmlns:a16="http://schemas.microsoft.com/office/drawing/2014/main" id="{E66E5A5A-1B9B-413B-AF72-A06A900B99B1}"/>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6"/>
    <xdr:sp macro="" textlink="">
      <xdr:nvSpPr>
        <xdr:cNvPr id="330" name="AutoShape 65" descr="+">
          <a:extLst>
            <a:ext uri="{FF2B5EF4-FFF2-40B4-BE49-F238E27FC236}">
              <a16:creationId xmlns:a16="http://schemas.microsoft.com/office/drawing/2014/main" id="{E59C9B66-791F-44CC-AE1F-5FA7DC368078}"/>
            </a:ext>
          </a:extLst>
        </xdr:cNvPr>
        <xdr:cNvSpPr>
          <a:spLocks noChangeAspect="1" noChangeArrowheads="1"/>
        </xdr:cNvSpPr>
      </xdr:nvSpPr>
      <xdr:spPr bwMode="auto">
        <a:xfrm>
          <a:off x="1885950" y="2695575"/>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31" name="AutoShape 66" descr="+">
          <a:extLst>
            <a:ext uri="{FF2B5EF4-FFF2-40B4-BE49-F238E27FC236}">
              <a16:creationId xmlns:a16="http://schemas.microsoft.com/office/drawing/2014/main" id="{4308D8C9-301E-4F86-8C71-562C56E9DB3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8"/>
    <xdr:sp macro="" textlink="">
      <xdr:nvSpPr>
        <xdr:cNvPr id="332" name="AutoShape 67" descr="+">
          <a:extLst>
            <a:ext uri="{FF2B5EF4-FFF2-40B4-BE49-F238E27FC236}">
              <a16:creationId xmlns:a16="http://schemas.microsoft.com/office/drawing/2014/main" id="{EFD5FDAC-439C-440F-89EC-2AD8089FD7B4}"/>
            </a:ext>
          </a:extLst>
        </xdr:cNvPr>
        <xdr:cNvSpPr>
          <a:spLocks noChangeAspect="1" noChangeArrowheads="1"/>
        </xdr:cNvSpPr>
      </xdr:nvSpPr>
      <xdr:spPr bwMode="auto">
        <a:xfrm>
          <a:off x="1885950" y="269557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8"/>
    <xdr:sp macro="" textlink="">
      <xdr:nvSpPr>
        <xdr:cNvPr id="333" name="AutoShape 68" descr="+">
          <a:extLst>
            <a:ext uri="{FF2B5EF4-FFF2-40B4-BE49-F238E27FC236}">
              <a16:creationId xmlns:a16="http://schemas.microsoft.com/office/drawing/2014/main" id="{87F1DF96-E8BA-401D-9B64-32A348617663}"/>
            </a:ext>
          </a:extLst>
        </xdr:cNvPr>
        <xdr:cNvSpPr>
          <a:spLocks noChangeAspect="1" noChangeArrowheads="1"/>
        </xdr:cNvSpPr>
      </xdr:nvSpPr>
      <xdr:spPr bwMode="auto">
        <a:xfrm>
          <a:off x="1885950" y="269557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34" name="AutoShape 69" descr="+">
          <a:extLst>
            <a:ext uri="{FF2B5EF4-FFF2-40B4-BE49-F238E27FC236}">
              <a16:creationId xmlns:a16="http://schemas.microsoft.com/office/drawing/2014/main" id="{AA1DBF0E-2865-4E84-B083-DF36FA8BF4E7}"/>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335" name="AutoShape 70" descr="+">
          <a:extLst>
            <a:ext uri="{FF2B5EF4-FFF2-40B4-BE49-F238E27FC236}">
              <a16:creationId xmlns:a16="http://schemas.microsoft.com/office/drawing/2014/main" id="{7C5E6411-94F7-4E1E-9460-3E8C4A12A24A}"/>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2"/>
    <xdr:sp macro="" textlink="">
      <xdr:nvSpPr>
        <xdr:cNvPr id="336" name="AutoShape 71" descr="+">
          <a:extLst>
            <a:ext uri="{FF2B5EF4-FFF2-40B4-BE49-F238E27FC236}">
              <a16:creationId xmlns:a16="http://schemas.microsoft.com/office/drawing/2014/main" id="{B494484C-B631-4967-BE1F-476ADC89A00A}"/>
            </a:ext>
          </a:extLst>
        </xdr:cNvPr>
        <xdr:cNvSpPr>
          <a:spLocks noChangeAspect="1" noChangeArrowheads="1"/>
        </xdr:cNvSpPr>
      </xdr:nvSpPr>
      <xdr:spPr bwMode="auto">
        <a:xfrm>
          <a:off x="1885950" y="2695575"/>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37" name="AutoShape 72" descr="+">
          <a:extLst>
            <a:ext uri="{FF2B5EF4-FFF2-40B4-BE49-F238E27FC236}">
              <a16:creationId xmlns:a16="http://schemas.microsoft.com/office/drawing/2014/main" id="{FD4E3FE5-229D-445D-843C-E658F8598156}"/>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38" name="AutoShape 73" descr="+">
          <a:extLst>
            <a:ext uri="{FF2B5EF4-FFF2-40B4-BE49-F238E27FC236}">
              <a16:creationId xmlns:a16="http://schemas.microsoft.com/office/drawing/2014/main" id="{9A4C9C3F-A6A8-49C3-9739-FEE3C96237E4}"/>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39" name="AutoShape 74" descr="+">
          <a:extLst>
            <a:ext uri="{FF2B5EF4-FFF2-40B4-BE49-F238E27FC236}">
              <a16:creationId xmlns:a16="http://schemas.microsoft.com/office/drawing/2014/main" id="{674177CD-CD5F-4CFB-9249-39808B257E7B}"/>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40" name="AutoShape 75" descr="+">
          <a:extLst>
            <a:ext uri="{FF2B5EF4-FFF2-40B4-BE49-F238E27FC236}">
              <a16:creationId xmlns:a16="http://schemas.microsoft.com/office/drawing/2014/main" id="{38A265C0-2151-49BE-9363-D080B4AA0DA2}"/>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41" name="AutoShape 76" descr="+">
          <a:extLst>
            <a:ext uri="{FF2B5EF4-FFF2-40B4-BE49-F238E27FC236}">
              <a16:creationId xmlns:a16="http://schemas.microsoft.com/office/drawing/2014/main" id="{09206491-1617-4860-B33A-28DD811B4BAF}"/>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42" name="AutoShape 77" descr="+">
          <a:extLst>
            <a:ext uri="{FF2B5EF4-FFF2-40B4-BE49-F238E27FC236}">
              <a16:creationId xmlns:a16="http://schemas.microsoft.com/office/drawing/2014/main" id="{C43986AA-70B1-4930-895F-B76C7A09078C}"/>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43" name="AutoShape 78" descr="+">
          <a:extLst>
            <a:ext uri="{FF2B5EF4-FFF2-40B4-BE49-F238E27FC236}">
              <a16:creationId xmlns:a16="http://schemas.microsoft.com/office/drawing/2014/main" id="{73FE6CDD-57A6-4E53-A3E6-3EADB6713279}"/>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9"/>
    <xdr:sp macro="" textlink="">
      <xdr:nvSpPr>
        <xdr:cNvPr id="344" name="AutoShape 79" descr="+">
          <a:extLst>
            <a:ext uri="{FF2B5EF4-FFF2-40B4-BE49-F238E27FC236}">
              <a16:creationId xmlns:a16="http://schemas.microsoft.com/office/drawing/2014/main" id="{E4C0776C-48C3-46F8-A565-2061EF05E350}"/>
            </a:ext>
          </a:extLst>
        </xdr:cNvPr>
        <xdr:cNvSpPr>
          <a:spLocks noChangeAspect="1" noChangeArrowheads="1"/>
        </xdr:cNvSpPr>
      </xdr:nvSpPr>
      <xdr:spPr bwMode="auto">
        <a:xfrm>
          <a:off x="1885950" y="2695575"/>
          <a:ext cx="304800" cy="1666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8"/>
    <xdr:sp macro="" textlink="">
      <xdr:nvSpPr>
        <xdr:cNvPr id="345" name="AutoShape 80" descr="+">
          <a:extLst>
            <a:ext uri="{FF2B5EF4-FFF2-40B4-BE49-F238E27FC236}">
              <a16:creationId xmlns:a16="http://schemas.microsoft.com/office/drawing/2014/main" id="{04E7B708-C8F5-475D-B4BF-66603E214055}"/>
            </a:ext>
          </a:extLst>
        </xdr:cNvPr>
        <xdr:cNvSpPr>
          <a:spLocks noChangeAspect="1" noChangeArrowheads="1"/>
        </xdr:cNvSpPr>
      </xdr:nvSpPr>
      <xdr:spPr bwMode="auto">
        <a:xfrm>
          <a:off x="1885950" y="2695575"/>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655"/>
    <xdr:sp macro="" textlink="">
      <xdr:nvSpPr>
        <xdr:cNvPr id="346" name="AutoShape 81" descr="+">
          <a:extLst>
            <a:ext uri="{FF2B5EF4-FFF2-40B4-BE49-F238E27FC236}">
              <a16:creationId xmlns:a16="http://schemas.microsoft.com/office/drawing/2014/main" id="{F7883AFD-5BEE-48D3-A1FA-47D931DD82D9}"/>
            </a:ext>
          </a:extLst>
        </xdr:cNvPr>
        <xdr:cNvSpPr>
          <a:spLocks noChangeAspect="1" noChangeArrowheads="1"/>
        </xdr:cNvSpPr>
      </xdr:nvSpPr>
      <xdr:spPr bwMode="auto">
        <a:xfrm>
          <a:off x="1885950" y="2695575"/>
          <a:ext cx="304800" cy="1816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8"/>
    <xdr:sp macro="" textlink="">
      <xdr:nvSpPr>
        <xdr:cNvPr id="347" name="AutoShape 82" descr="+">
          <a:extLst>
            <a:ext uri="{FF2B5EF4-FFF2-40B4-BE49-F238E27FC236}">
              <a16:creationId xmlns:a16="http://schemas.microsoft.com/office/drawing/2014/main" id="{D8021EF5-FD4C-48D8-BEAD-CBB141CE7AAD}"/>
            </a:ext>
          </a:extLst>
        </xdr:cNvPr>
        <xdr:cNvSpPr>
          <a:spLocks noChangeAspect="1" noChangeArrowheads="1"/>
        </xdr:cNvSpPr>
      </xdr:nvSpPr>
      <xdr:spPr bwMode="auto">
        <a:xfrm>
          <a:off x="1885950" y="2695575"/>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71"/>
    <xdr:sp macro="" textlink="">
      <xdr:nvSpPr>
        <xdr:cNvPr id="348" name="AutoShape 83" descr="+">
          <a:extLst>
            <a:ext uri="{FF2B5EF4-FFF2-40B4-BE49-F238E27FC236}">
              <a16:creationId xmlns:a16="http://schemas.microsoft.com/office/drawing/2014/main" id="{651D906A-6133-4B0A-97D4-8E1494B860EA}"/>
            </a:ext>
          </a:extLst>
        </xdr:cNvPr>
        <xdr:cNvSpPr>
          <a:spLocks noChangeAspect="1" noChangeArrowheads="1"/>
        </xdr:cNvSpPr>
      </xdr:nvSpPr>
      <xdr:spPr bwMode="auto">
        <a:xfrm>
          <a:off x="1885950" y="2695575"/>
          <a:ext cx="304800" cy="20547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9"/>
    <xdr:sp macro="" textlink="">
      <xdr:nvSpPr>
        <xdr:cNvPr id="349" name="AutoShape 84" descr="+">
          <a:extLst>
            <a:ext uri="{FF2B5EF4-FFF2-40B4-BE49-F238E27FC236}">
              <a16:creationId xmlns:a16="http://schemas.microsoft.com/office/drawing/2014/main" id="{753A6372-4611-438A-86A9-8FFF450799B6}"/>
            </a:ext>
          </a:extLst>
        </xdr:cNvPr>
        <xdr:cNvSpPr>
          <a:spLocks noChangeAspect="1" noChangeArrowheads="1"/>
        </xdr:cNvSpPr>
      </xdr:nvSpPr>
      <xdr:spPr bwMode="auto">
        <a:xfrm>
          <a:off x="1885950" y="2695575"/>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8"/>
    <xdr:sp macro="" textlink="">
      <xdr:nvSpPr>
        <xdr:cNvPr id="350" name="AutoShape 85" descr="+">
          <a:extLst>
            <a:ext uri="{FF2B5EF4-FFF2-40B4-BE49-F238E27FC236}">
              <a16:creationId xmlns:a16="http://schemas.microsoft.com/office/drawing/2014/main" id="{002A0FCF-EBFC-484B-9018-994AF8E92F4B}"/>
            </a:ext>
          </a:extLst>
        </xdr:cNvPr>
        <xdr:cNvSpPr>
          <a:spLocks noChangeAspect="1" noChangeArrowheads="1"/>
        </xdr:cNvSpPr>
      </xdr:nvSpPr>
      <xdr:spPr bwMode="auto">
        <a:xfrm>
          <a:off x="1885950" y="2695575"/>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8"/>
    <xdr:sp macro="" textlink="">
      <xdr:nvSpPr>
        <xdr:cNvPr id="351" name="AutoShape 86" descr="+">
          <a:extLst>
            <a:ext uri="{FF2B5EF4-FFF2-40B4-BE49-F238E27FC236}">
              <a16:creationId xmlns:a16="http://schemas.microsoft.com/office/drawing/2014/main" id="{E09CA149-A122-4D62-99DC-34DC0AD8E7AF}"/>
            </a:ext>
          </a:extLst>
        </xdr:cNvPr>
        <xdr:cNvSpPr>
          <a:spLocks noChangeAspect="1" noChangeArrowheads="1"/>
        </xdr:cNvSpPr>
      </xdr:nvSpPr>
      <xdr:spPr bwMode="auto">
        <a:xfrm>
          <a:off x="1885950" y="2695575"/>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9"/>
    <xdr:sp macro="" textlink="">
      <xdr:nvSpPr>
        <xdr:cNvPr id="352" name="AutoShape 87" descr="+">
          <a:extLst>
            <a:ext uri="{FF2B5EF4-FFF2-40B4-BE49-F238E27FC236}">
              <a16:creationId xmlns:a16="http://schemas.microsoft.com/office/drawing/2014/main" id="{B9A3B396-764A-4D0E-9A65-DAB998B7DD6F}"/>
            </a:ext>
          </a:extLst>
        </xdr:cNvPr>
        <xdr:cNvSpPr>
          <a:spLocks noChangeAspect="1" noChangeArrowheads="1"/>
        </xdr:cNvSpPr>
      </xdr:nvSpPr>
      <xdr:spPr bwMode="auto">
        <a:xfrm>
          <a:off x="1885950" y="2695575"/>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9"/>
    <xdr:sp macro="" textlink="">
      <xdr:nvSpPr>
        <xdr:cNvPr id="353" name="AutoShape 88" descr="+">
          <a:extLst>
            <a:ext uri="{FF2B5EF4-FFF2-40B4-BE49-F238E27FC236}">
              <a16:creationId xmlns:a16="http://schemas.microsoft.com/office/drawing/2014/main" id="{EE237187-09A4-4DD1-96BC-C5AA60B3125D}"/>
            </a:ext>
          </a:extLst>
        </xdr:cNvPr>
        <xdr:cNvSpPr>
          <a:spLocks noChangeAspect="1" noChangeArrowheads="1"/>
        </xdr:cNvSpPr>
      </xdr:nvSpPr>
      <xdr:spPr bwMode="auto">
        <a:xfrm>
          <a:off x="1885950" y="2695575"/>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70"/>
    <xdr:sp macro="" textlink="">
      <xdr:nvSpPr>
        <xdr:cNvPr id="354" name="AutoShape 89" descr="+">
          <a:extLst>
            <a:ext uri="{FF2B5EF4-FFF2-40B4-BE49-F238E27FC236}">
              <a16:creationId xmlns:a16="http://schemas.microsoft.com/office/drawing/2014/main" id="{F663E275-2A33-4598-AF70-120486538CB0}"/>
            </a:ext>
          </a:extLst>
        </xdr:cNvPr>
        <xdr:cNvSpPr>
          <a:spLocks noChangeAspect="1" noChangeArrowheads="1"/>
        </xdr:cNvSpPr>
      </xdr:nvSpPr>
      <xdr:spPr bwMode="auto">
        <a:xfrm>
          <a:off x="1885950" y="2695575"/>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7"/>
    <xdr:sp macro="" textlink="">
      <xdr:nvSpPr>
        <xdr:cNvPr id="355" name="AutoShape 90" descr="+">
          <a:extLst>
            <a:ext uri="{FF2B5EF4-FFF2-40B4-BE49-F238E27FC236}">
              <a16:creationId xmlns:a16="http://schemas.microsoft.com/office/drawing/2014/main" id="{87E04083-1CEE-4693-B980-4B4AF136B75E}"/>
            </a:ext>
          </a:extLst>
        </xdr:cNvPr>
        <xdr:cNvSpPr>
          <a:spLocks noChangeAspect="1" noChangeArrowheads="1"/>
        </xdr:cNvSpPr>
      </xdr:nvSpPr>
      <xdr:spPr bwMode="auto">
        <a:xfrm>
          <a:off x="1885950" y="2695575"/>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7044"/>
    <xdr:sp macro="" textlink="">
      <xdr:nvSpPr>
        <xdr:cNvPr id="356" name="AutoShape 91" descr="+">
          <a:extLst>
            <a:ext uri="{FF2B5EF4-FFF2-40B4-BE49-F238E27FC236}">
              <a16:creationId xmlns:a16="http://schemas.microsoft.com/office/drawing/2014/main" id="{DD2FB71B-2254-4F84-8403-8B6B2739041F}"/>
            </a:ext>
          </a:extLst>
        </xdr:cNvPr>
        <xdr:cNvSpPr>
          <a:spLocks noChangeAspect="1" noChangeArrowheads="1"/>
        </xdr:cNvSpPr>
      </xdr:nvSpPr>
      <xdr:spPr bwMode="auto">
        <a:xfrm>
          <a:off x="1885950" y="2695575"/>
          <a:ext cx="304800" cy="3070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450"/>
    <xdr:sp macro="" textlink="">
      <xdr:nvSpPr>
        <xdr:cNvPr id="357" name="AutoShape 92" descr="+">
          <a:extLst>
            <a:ext uri="{FF2B5EF4-FFF2-40B4-BE49-F238E27FC236}">
              <a16:creationId xmlns:a16="http://schemas.microsoft.com/office/drawing/2014/main" id="{3FBC3A17-E7EF-49EB-ADCF-D17C245314D3}"/>
            </a:ext>
          </a:extLst>
        </xdr:cNvPr>
        <xdr:cNvSpPr>
          <a:spLocks noChangeAspect="1" noChangeArrowheads="1"/>
        </xdr:cNvSpPr>
      </xdr:nvSpPr>
      <xdr:spPr bwMode="auto">
        <a:xfrm>
          <a:off x="1885950" y="2695575"/>
          <a:ext cx="30480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70"/>
    <xdr:sp macro="" textlink="">
      <xdr:nvSpPr>
        <xdr:cNvPr id="358" name="AutoShape 93" descr="+">
          <a:extLst>
            <a:ext uri="{FF2B5EF4-FFF2-40B4-BE49-F238E27FC236}">
              <a16:creationId xmlns:a16="http://schemas.microsoft.com/office/drawing/2014/main" id="{8206A730-0DCF-46B7-B546-EDAABC96B926}"/>
            </a:ext>
          </a:extLst>
        </xdr:cNvPr>
        <xdr:cNvSpPr>
          <a:spLocks noChangeAspect="1" noChangeArrowheads="1"/>
        </xdr:cNvSpPr>
      </xdr:nvSpPr>
      <xdr:spPr bwMode="auto">
        <a:xfrm>
          <a:off x="1885950" y="2695575"/>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70"/>
    <xdr:sp macro="" textlink="">
      <xdr:nvSpPr>
        <xdr:cNvPr id="359" name="AutoShape 94" descr="+">
          <a:extLst>
            <a:ext uri="{FF2B5EF4-FFF2-40B4-BE49-F238E27FC236}">
              <a16:creationId xmlns:a16="http://schemas.microsoft.com/office/drawing/2014/main" id="{ACCFDE0A-24AE-4BF4-8F35-0AE89C8C2443}"/>
            </a:ext>
          </a:extLst>
        </xdr:cNvPr>
        <xdr:cNvSpPr>
          <a:spLocks noChangeAspect="1" noChangeArrowheads="1"/>
        </xdr:cNvSpPr>
      </xdr:nvSpPr>
      <xdr:spPr bwMode="auto">
        <a:xfrm>
          <a:off x="1885950" y="2695575"/>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8"/>
    <xdr:sp macro="" textlink="">
      <xdr:nvSpPr>
        <xdr:cNvPr id="360" name="AutoShape 95" descr="+">
          <a:extLst>
            <a:ext uri="{FF2B5EF4-FFF2-40B4-BE49-F238E27FC236}">
              <a16:creationId xmlns:a16="http://schemas.microsoft.com/office/drawing/2014/main" id="{4474226C-57DF-4485-99B5-BFF86AF4D128}"/>
            </a:ext>
          </a:extLst>
        </xdr:cNvPr>
        <xdr:cNvSpPr>
          <a:spLocks noChangeAspect="1" noChangeArrowheads="1"/>
        </xdr:cNvSpPr>
      </xdr:nvSpPr>
      <xdr:spPr bwMode="auto">
        <a:xfrm>
          <a:off x="1885950" y="2695575"/>
          <a:ext cx="304800" cy="200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61" name="AutoShape 96" descr="+">
          <a:extLst>
            <a:ext uri="{FF2B5EF4-FFF2-40B4-BE49-F238E27FC236}">
              <a16:creationId xmlns:a16="http://schemas.microsoft.com/office/drawing/2014/main" id="{B925556F-AED9-4131-AFE0-F9BEA6D117FA}"/>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62" name="AutoShape 97" descr="+">
          <a:extLst>
            <a:ext uri="{FF2B5EF4-FFF2-40B4-BE49-F238E27FC236}">
              <a16:creationId xmlns:a16="http://schemas.microsoft.com/office/drawing/2014/main" id="{5F3111ED-DF87-4796-814D-639C669A91F7}"/>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363" name="AutoShape 98" descr="+">
          <a:extLst>
            <a:ext uri="{FF2B5EF4-FFF2-40B4-BE49-F238E27FC236}">
              <a16:creationId xmlns:a16="http://schemas.microsoft.com/office/drawing/2014/main" id="{08636D01-908F-41C4-A123-071A36523EC7}"/>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364" name="AutoShape 99" descr="+">
          <a:extLst>
            <a:ext uri="{FF2B5EF4-FFF2-40B4-BE49-F238E27FC236}">
              <a16:creationId xmlns:a16="http://schemas.microsoft.com/office/drawing/2014/main" id="{E244ABCF-371C-4333-9F87-A918B13F7386}"/>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6"/>
    <xdr:sp macro="" textlink="">
      <xdr:nvSpPr>
        <xdr:cNvPr id="365" name="AutoShape 100" descr="+">
          <a:extLst>
            <a:ext uri="{FF2B5EF4-FFF2-40B4-BE49-F238E27FC236}">
              <a16:creationId xmlns:a16="http://schemas.microsoft.com/office/drawing/2014/main" id="{16EA43DD-73D3-4C56-AF79-422905D5139A}"/>
            </a:ext>
          </a:extLst>
        </xdr:cNvPr>
        <xdr:cNvSpPr>
          <a:spLocks noChangeAspect="1" noChangeArrowheads="1"/>
        </xdr:cNvSpPr>
      </xdr:nvSpPr>
      <xdr:spPr bwMode="auto">
        <a:xfrm>
          <a:off x="1885950" y="269557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66" name="AutoShape 101" descr="+">
          <a:extLst>
            <a:ext uri="{FF2B5EF4-FFF2-40B4-BE49-F238E27FC236}">
              <a16:creationId xmlns:a16="http://schemas.microsoft.com/office/drawing/2014/main" id="{AE1D327F-031E-4EA0-A850-38AC4A355D91}"/>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67" name="AutoShape 102" descr="+">
          <a:extLst>
            <a:ext uri="{FF2B5EF4-FFF2-40B4-BE49-F238E27FC236}">
              <a16:creationId xmlns:a16="http://schemas.microsoft.com/office/drawing/2014/main" id="{9234DEBC-DF40-4344-A8BB-C7C9E63695E0}"/>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368" name="AutoShape 103" descr="+">
          <a:extLst>
            <a:ext uri="{FF2B5EF4-FFF2-40B4-BE49-F238E27FC236}">
              <a16:creationId xmlns:a16="http://schemas.microsoft.com/office/drawing/2014/main" id="{F26E693B-19DF-44F1-982D-BC8E6748DD80}"/>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69" name="AutoShape 104" descr="+">
          <a:extLst>
            <a:ext uri="{FF2B5EF4-FFF2-40B4-BE49-F238E27FC236}">
              <a16:creationId xmlns:a16="http://schemas.microsoft.com/office/drawing/2014/main" id="{DBC38D45-35FA-4B5B-B793-30FE21E78DD8}"/>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2133"/>
    <xdr:sp macro="" textlink="">
      <xdr:nvSpPr>
        <xdr:cNvPr id="370" name="AutoShape 105" descr="+">
          <a:extLst>
            <a:ext uri="{FF2B5EF4-FFF2-40B4-BE49-F238E27FC236}">
              <a16:creationId xmlns:a16="http://schemas.microsoft.com/office/drawing/2014/main" id="{FB36407F-36D6-402D-B32D-A825E1CDEDB4}"/>
            </a:ext>
          </a:extLst>
        </xdr:cNvPr>
        <xdr:cNvSpPr>
          <a:spLocks noChangeAspect="1" noChangeArrowheads="1"/>
        </xdr:cNvSpPr>
      </xdr:nvSpPr>
      <xdr:spPr bwMode="auto">
        <a:xfrm>
          <a:off x="1885950" y="2695575"/>
          <a:ext cx="304800" cy="172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5"/>
    <xdr:sp macro="" textlink="">
      <xdr:nvSpPr>
        <xdr:cNvPr id="371" name="AutoShape 106" descr="+">
          <a:extLst>
            <a:ext uri="{FF2B5EF4-FFF2-40B4-BE49-F238E27FC236}">
              <a16:creationId xmlns:a16="http://schemas.microsoft.com/office/drawing/2014/main" id="{A5383DC8-066F-43AC-A401-2C948B3D2A27}"/>
            </a:ext>
          </a:extLst>
        </xdr:cNvPr>
        <xdr:cNvSpPr>
          <a:spLocks noChangeAspect="1" noChangeArrowheads="1"/>
        </xdr:cNvSpPr>
      </xdr:nvSpPr>
      <xdr:spPr bwMode="auto">
        <a:xfrm>
          <a:off x="1885950" y="2695575"/>
          <a:ext cx="304800" cy="200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0"/>
    <xdr:sp macro="" textlink="">
      <xdr:nvSpPr>
        <xdr:cNvPr id="372" name="AutoShape 107" descr="+">
          <a:extLst>
            <a:ext uri="{FF2B5EF4-FFF2-40B4-BE49-F238E27FC236}">
              <a16:creationId xmlns:a16="http://schemas.microsoft.com/office/drawing/2014/main" id="{17D89461-B1F7-43CB-8451-DFC32BDAFF31}"/>
            </a:ext>
          </a:extLst>
        </xdr:cNvPr>
        <xdr:cNvSpPr>
          <a:spLocks noChangeAspect="1" noChangeArrowheads="1"/>
        </xdr:cNvSpPr>
      </xdr:nvSpPr>
      <xdr:spPr bwMode="auto">
        <a:xfrm>
          <a:off x="1885950" y="269557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73" name="AutoShape 108" descr="+">
          <a:extLst>
            <a:ext uri="{FF2B5EF4-FFF2-40B4-BE49-F238E27FC236}">
              <a16:creationId xmlns:a16="http://schemas.microsoft.com/office/drawing/2014/main" id="{B1CF96E8-93F0-43EE-8F28-6C342DF1DE54}"/>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374" name="AutoShape 109" descr="+">
          <a:extLst>
            <a:ext uri="{FF2B5EF4-FFF2-40B4-BE49-F238E27FC236}">
              <a16:creationId xmlns:a16="http://schemas.microsoft.com/office/drawing/2014/main" id="{C516F9D9-2F50-4E27-BDE0-A83F6F6118BC}"/>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75" name="AutoShape 110" descr="+">
          <a:extLst>
            <a:ext uri="{FF2B5EF4-FFF2-40B4-BE49-F238E27FC236}">
              <a16:creationId xmlns:a16="http://schemas.microsoft.com/office/drawing/2014/main" id="{2E277342-C929-4281-AE12-081320688865}"/>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76" name="AutoShape 111" descr="+">
          <a:extLst>
            <a:ext uri="{FF2B5EF4-FFF2-40B4-BE49-F238E27FC236}">
              <a16:creationId xmlns:a16="http://schemas.microsoft.com/office/drawing/2014/main" id="{2E8E0D29-1944-4FF2-8331-F509CF8F9C8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77" name="AutoShape 112" descr="+">
          <a:extLst>
            <a:ext uri="{FF2B5EF4-FFF2-40B4-BE49-F238E27FC236}">
              <a16:creationId xmlns:a16="http://schemas.microsoft.com/office/drawing/2014/main" id="{A06D750A-32EB-4F17-BF84-8350019570A6}"/>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58"/>
    <xdr:sp macro="" textlink="">
      <xdr:nvSpPr>
        <xdr:cNvPr id="378" name="AutoShape 113" descr="+">
          <a:extLst>
            <a:ext uri="{FF2B5EF4-FFF2-40B4-BE49-F238E27FC236}">
              <a16:creationId xmlns:a16="http://schemas.microsoft.com/office/drawing/2014/main" id="{DC516A91-5216-4AA2-B708-065F40EA543D}"/>
            </a:ext>
          </a:extLst>
        </xdr:cNvPr>
        <xdr:cNvSpPr>
          <a:spLocks noChangeAspect="1" noChangeArrowheads="1"/>
        </xdr:cNvSpPr>
      </xdr:nvSpPr>
      <xdr:spPr bwMode="auto">
        <a:xfrm>
          <a:off x="1885950" y="2695575"/>
          <a:ext cx="304800" cy="1914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79" name="AutoShape 114" descr="+">
          <a:extLst>
            <a:ext uri="{FF2B5EF4-FFF2-40B4-BE49-F238E27FC236}">
              <a16:creationId xmlns:a16="http://schemas.microsoft.com/office/drawing/2014/main" id="{3D74184D-EB96-4D9A-81EF-1681BAB3313A}"/>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80" name="AutoShape 115" descr="+">
          <a:extLst>
            <a:ext uri="{FF2B5EF4-FFF2-40B4-BE49-F238E27FC236}">
              <a16:creationId xmlns:a16="http://schemas.microsoft.com/office/drawing/2014/main" id="{4FDB1C77-A079-4222-A029-F360B423B6D1}"/>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81" name="AutoShape 116" descr="+">
          <a:extLst>
            <a:ext uri="{FF2B5EF4-FFF2-40B4-BE49-F238E27FC236}">
              <a16:creationId xmlns:a16="http://schemas.microsoft.com/office/drawing/2014/main" id="{916282E3-B1EE-4E78-9486-520904A2532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82" name="AutoShape 117" descr="+">
          <a:extLst>
            <a:ext uri="{FF2B5EF4-FFF2-40B4-BE49-F238E27FC236}">
              <a16:creationId xmlns:a16="http://schemas.microsoft.com/office/drawing/2014/main" id="{34E0A35B-4DD5-4126-8E90-952733F9A78D}"/>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83" name="AutoShape 118" descr="+">
          <a:extLst>
            <a:ext uri="{FF2B5EF4-FFF2-40B4-BE49-F238E27FC236}">
              <a16:creationId xmlns:a16="http://schemas.microsoft.com/office/drawing/2014/main" id="{13BB17EA-84D4-446F-BCDC-8193522A0343}"/>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84" name="AutoShape 119" descr="+">
          <a:extLst>
            <a:ext uri="{FF2B5EF4-FFF2-40B4-BE49-F238E27FC236}">
              <a16:creationId xmlns:a16="http://schemas.microsoft.com/office/drawing/2014/main" id="{478CBBD4-4D90-49D8-B522-09615B129EEB}"/>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85" name="AutoShape 120" descr="+">
          <a:extLst>
            <a:ext uri="{FF2B5EF4-FFF2-40B4-BE49-F238E27FC236}">
              <a16:creationId xmlns:a16="http://schemas.microsoft.com/office/drawing/2014/main" id="{E25991D2-B009-4BA9-85E8-98DBA5E5281F}"/>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86" name="AutoShape 121" descr="+">
          <a:extLst>
            <a:ext uri="{FF2B5EF4-FFF2-40B4-BE49-F238E27FC236}">
              <a16:creationId xmlns:a16="http://schemas.microsoft.com/office/drawing/2014/main" id="{C33A8382-40DE-474F-8B75-BCA2586BB83B}"/>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387" name="AutoShape 122" descr="+">
          <a:extLst>
            <a:ext uri="{FF2B5EF4-FFF2-40B4-BE49-F238E27FC236}">
              <a16:creationId xmlns:a16="http://schemas.microsoft.com/office/drawing/2014/main" id="{BE8B7BF5-0921-48E2-80D2-599910C2941D}"/>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388" name="AutoShape 123" descr="+">
          <a:extLst>
            <a:ext uri="{FF2B5EF4-FFF2-40B4-BE49-F238E27FC236}">
              <a16:creationId xmlns:a16="http://schemas.microsoft.com/office/drawing/2014/main" id="{0EB67BAA-2413-4112-AEF1-4A3AF2DCF13D}"/>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89" name="AutoShape 124" descr="+">
          <a:extLst>
            <a:ext uri="{FF2B5EF4-FFF2-40B4-BE49-F238E27FC236}">
              <a16:creationId xmlns:a16="http://schemas.microsoft.com/office/drawing/2014/main" id="{B045E605-21DD-4636-B3A9-B8854EBE98D7}"/>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90" name="AutoShape 125" descr="+">
          <a:extLst>
            <a:ext uri="{FF2B5EF4-FFF2-40B4-BE49-F238E27FC236}">
              <a16:creationId xmlns:a16="http://schemas.microsoft.com/office/drawing/2014/main" id="{A5E8D8F9-B467-44CA-ADC1-CC240357C1C4}"/>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91" name="AutoShape 126" descr="+">
          <a:extLst>
            <a:ext uri="{FF2B5EF4-FFF2-40B4-BE49-F238E27FC236}">
              <a16:creationId xmlns:a16="http://schemas.microsoft.com/office/drawing/2014/main" id="{4B3186EF-9C2D-4208-984F-3D00830DDB74}"/>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3088"/>
    <xdr:sp macro="" textlink="">
      <xdr:nvSpPr>
        <xdr:cNvPr id="392" name="AutoShape 127" descr="+">
          <a:extLst>
            <a:ext uri="{FF2B5EF4-FFF2-40B4-BE49-F238E27FC236}">
              <a16:creationId xmlns:a16="http://schemas.microsoft.com/office/drawing/2014/main" id="{18DEA862-F2F2-4980-B413-81E00C4DF51E}"/>
            </a:ext>
          </a:extLst>
        </xdr:cNvPr>
        <xdr:cNvSpPr>
          <a:spLocks noChangeAspect="1" noChangeArrowheads="1"/>
        </xdr:cNvSpPr>
      </xdr:nvSpPr>
      <xdr:spPr bwMode="auto">
        <a:xfrm>
          <a:off x="1885950" y="2695575"/>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3089"/>
    <xdr:sp macro="" textlink="">
      <xdr:nvSpPr>
        <xdr:cNvPr id="393" name="AutoShape 128" descr="+">
          <a:extLst>
            <a:ext uri="{FF2B5EF4-FFF2-40B4-BE49-F238E27FC236}">
              <a16:creationId xmlns:a16="http://schemas.microsoft.com/office/drawing/2014/main" id="{EAC90C01-AAB0-4310-8279-4564D9CBE394}"/>
            </a:ext>
          </a:extLst>
        </xdr:cNvPr>
        <xdr:cNvSpPr>
          <a:spLocks noChangeAspect="1" noChangeArrowheads="1"/>
        </xdr:cNvSpPr>
      </xdr:nvSpPr>
      <xdr:spPr bwMode="auto">
        <a:xfrm>
          <a:off x="1885950" y="2695575"/>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94" name="AutoShape 129" descr="+">
          <a:extLst>
            <a:ext uri="{FF2B5EF4-FFF2-40B4-BE49-F238E27FC236}">
              <a16:creationId xmlns:a16="http://schemas.microsoft.com/office/drawing/2014/main" id="{D716E043-2C54-4D42-B8F4-3ADC84C3667B}"/>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95" name="AutoShape 130" descr="+">
          <a:extLst>
            <a:ext uri="{FF2B5EF4-FFF2-40B4-BE49-F238E27FC236}">
              <a16:creationId xmlns:a16="http://schemas.microsoft.com/office/drawing/2014/main" id="{A3E70E1E-72A9-4510-893B-BD528B64695E}"/>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96" name="AutoShape 131" descr="+">
          <a:extLst>
            <a:ext uri="{FF2B5EF4-FFF2-40B4-BE49-F238E27FC236}">
              <a16:creationId xmlns:a16="http://schemas.microsoft.com/office/drawing/2014/main" id="{420D0EDF-4D99-4815-A281-038DEC5DC5D1}"/>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97" name="AutoShape 132" descr="+">
          <a:extLst>
            <a:ext uri="{FF2B5EF4-FFF2-40B4-BE49-F238E27FC236}">
              <a16:creationId xmlns:a16="http://schemas.microsoft.com/office/drawing/2014/main" id="{0F4C2BB8-0344-4D26-A679-64C6351EB6D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98" name="AutoShape 133" descr="+">
          <a:extLst>
            <a:ext uri="{FF2B5EF4-FFF2-40B4-BE49-F238E27FC236}">
              <a16:creationId xmlns:a16="http://schemas.microsoft.com/office/drawing/2014/main" id="{CBE9CAB5-84F5-479E-B1F4-781E75B1F7AC}"/>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99" name="AutoShape 134" descr="+">
          <a:extLst>
            <a:ext uri="{FF2B5EF4-FFF2-40B4-BE49-F238E27FC236}">
              <a16:creationId xmlns:a16="http://schemas.microsoft.com/office/drawing/2014/main" id="{28935BDE-DF85-4802-902A-6CAD7930A79F}"/>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00" name="AutoShape 135" descr="+">
          <a:extLst>
            <a:ext uri="{FF2B5EF4-FFF2-40B4-BE49-F238E27FC236}">
              <a16:creationId xmlns:a16="http://schemas.microsoft.com/office/drawing/2014/main" id="{5A10D8B8-E918-452A-BAD2-0E73ED0E5CC7}"/>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01" name="AutoShape 136" descr="+">
          <a:extLst>
            <a:ext uri="{FF2B5EF4-FFF2-40B4-BE49-F238E27FC236}">
              <a16:creationId xmlns:a16="http://schemas.microsoft.com/office/drawing/2014/main" id="{3F707600-E5E2-42F3-986F-9426DAB9D482}"/>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02" name="AutoShape 137" descr="+">
          <a:extLst>
            <a:ext uri="{FF2B5EF4-FFF2-40B4-BE49-F238E27FC236}">
              <a16:creationId xmlns:a16="http://schemas.microsoft.com/office/drawing/2014/main" id="{B99A20B8-58AD-4A53-B0BC-BE7A2475984A}"/>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03" name="AutoShape 138" descr="+">
          <a:extLst>
            <a:ext uri="{FF2B5EF4-FFF2-40B4-BE49-F238E27FC236}">
              <a16:creationId xmlns:a16="http://schemas.microsoft.com/office/drawing/2014/main" id="{0472F1D7-433C-4DFB-852D-ADFF6FEEC45A}"/>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404" name="AutoShape 139" descr="+">
          <a:extLst>
            <a:ext uri="{FF2B5EF4-FFF2-40B4-BE49-F238E27FC236}">
              <a16:creationId xmlns:a16="http://schemas.microsoft.com/office/drawing/2014/main" id="{6C4E0A3E-2327-4284-9A46-C4C2DDEA31FB}"/>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2"/>
    <xdr:sp macro="" textlink="">
      <xdr:nvSpPr>
        <xdr:cNvPr id="405" name="AutoShape 140" descr="+">
          <a:extLst>
            <a:ext uri="{FF2B5EF4-FFF2-40B4-BE49-F238E27FC236}">
              <a16:creationId xmlns:a16="http://schemas.microsoft.com/office/drawing/2014/main" id="{F7F931AF-9C02-4CC4-A32F-ED7238EDF30E}"/>
            </a:ext>
          </a:extLst>
        </xdr:cNvPr>
        <xdr:cNvSpPr>
          <a:spLocks noChangeAspect="1" noChangeArrowheads="1"/>
        </xdr:cNvSpPr>
      </xdr:nvSpPr>
      <xdr:spPr bwMode="auto">
        <a:xfrm>
          <a:off x="1885950" y="2695575"/>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06" name="AutoShape 141" descr="+">
          <a:extLst>
            <a:ext uri="{FF2B5EF4-FFF2-40B4-BE49-F238E27FC236}">
              <a16:creationId xmlns:a16="http://schemas.microsoft.com/office/drawing/2014/main" id="{EB7A4B19-3B0F-40CC-A07F-0AAB9A7779FD}"/>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07" name="AutoShape 142" descr="+">
          <a:extLst>
            <a:ext uri="{FF2B5EF4-FFF2-40B4-BE49-F238E27FC236}">
              <a16:creationId xmlns:a16="http://schemas.microsoft.com/office/drawing/2014/main" id="{BC2D479A-35EF-41DF-B47A-0DC220C80CA3}"/>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27330"/>
    <xdr:sp macro="" textlink="">
      <xdr:nvSpPr>
        <xdr:cNvPr id="408" name="AutoShape 143" descr="+">
          <a:extLst>
            <a:ext uri="{FF2B5EF4-FFF2-40B4-BE49-F238E27FC236}">
              <a16:creationId xmlns:a16="http://schemas.microsoft.com/office/drawing/2014/main" id="{CC344D27-99F7-4459-950C-33E68224EB44}"/>
            </a:ext>
          </a:extLst>
        </xdr:cNvPr>
        <xdr:cNvSpPr>
          <a:spLocks noChangeAspect="1" noChangeArrowheads="1"/>
        </xdr:cNvSpPr>
      </xdr:nvSpPr>
      <xdr:spPr bwMode="auto">
        <a:xfrm>
          <a:off x="1885950" y="2695575"/>
          <a:ext cx="304800" cy="327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09" name="AutoShape 144" descr="+">
          <a:extLst>
            <a:ext uri="{FF2B5EF4-FFF2-40B4-BE49-F238E27FC236}">
              <a16:creationId xmlns:a16="http://schemas.microsoft.com/office/drawing/2014/main" id="{2230F5EB-F01F-4722-A676-3BCCFB8B57E0}"/>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10" name="AutoShape 145" descr="+">
          <a:extLst>
            <a:ext uri="{FF2B5EF4-FFF2-40B4-BE49-F238E27FC236}">
              <a16:creationId xmlns:a16="http://schemas.microsoft.com/office/drawing/2014/main" id="{F42A4C8C-4383-4F20-828A-FBFAD348BB87}"/>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11" name="AutoShape 146" descr="+">
          <a:extLst>
            <a:ext uri="{FF2B5EF4-FFF2-40B4-BE49-F238E27FC236}">
              <a16:creationId xmlns:a16="http://schemas.microsoft.com/office/drawing/2014/main" id="{186D6582-4960-4DE3-AB67-DAD10D0421DC}"/>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12" name="AutoShape 147" descr="+">
          <a:extLst>
            <a:ext uri="{FF2B5EF4-FFF2-40B4-BE49-F238E27FC236}">
              <a16:creationId xmlns:a16="http://schemas.microsoft.com/office/drawing/2014/main" id="{3C3C13D0-6F31-44DD-BD43-65B8A28CC3A1}"/>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6"/>
    <xdr:sp macro="" textlink="">
      <xdr:nvSpPr>
        <xdr:cNvPr id="413" name="AutoShape 148" descr="+">
          <a:extLst>
            <a:ext uri="{FF2B5EF4-FFF2-40B4-BE49-F238E27FC236}">
              <a16:creationId xmlns:a16="http://schemas.microsoft.com/office/drawing/2014/main" id="{6EC2442B-E6B6-4941-BD74-0BB5C2784D1C}"/>
            </a:ext>
          </a:extLst>
        </xdr:cNvPr>
        <xdr:cNvSpPr>
          <a:spLocks noChangeAspect="1" noChangeArrowheads="1"/>
        </xdr:cNvSpPr>
      </xdr:nvSpPr>
      <xdr:spPr bwMode="auto">
        <a:xfrm>
          <a:off x="1885950" y="269557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0"/>
    <xdr:sp macro="" textlink="">
      <xdr:nvSpPr>
        <xdr:cNvPr id="414" name="AutoShape 149" descr="+">
          <a:extLst>
            <a:ext uri="{FF2B5EF4-FFF2-40B4-BE49-F238E27FC236}">
              <a16:creationId xmlns:a16="http://schemas.microsoft.com/office/drawing/2014/main" id="{7AC49AAA-D05A-4D38-9B2E-5863C8BC639C}"/>
            </a:ext>
          </a:extLst>
        </xdr:cNvPr>
        <xdr:cNvSpPr>
          <a:spLocks noChangeAspect="1" noChangeArrowheads="1"/>
        </xdr:cNvSpPr>
      </xdr:nvSpPr>
      <xdr:spPr bwMode="auto">
        <a:xfrm>
          <a:off x="1885950" y="269557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15" name="AutoShape 150" descr="+">
          <a:extLst>
            <a:ext uri="{FF2B5EF4-FFF2-40B4-BE49-F238E27FC236}">
              <a16:creationId xmlns:a16="http://schemas.microsoft.com/office/drawing/2014/main" id="{92C2F716-3EDA-422A-97BC-B8F3A6409A2C}"/>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16" name="AutoShape 151" descr="+">
          <a:extLst>
            <a:ext uri="{FF2B5EF4-FFF2-40B4-BE49-F238E27FC236}">
              <a16:creationId xmlns:a16="http://schemas.microsoft.com/office/drawing/2014/main" id="{175C82B9-4BCE-4598-A76B-6306AC32D93D}"/>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17" name="AutoShape 152" descr="+">
          <a:extLst>
            <a:ext uri="{FF2B5EF4-FFF2-40B4-BE49-F238E27FC236}">
              <a16:creationId xmlns:a16="http://schemas.microsoft.com/office/drawing/2014/main" id="{F7A20F54-2A42-41BD-85EE-E1484CB962F0}"/>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796"/>
    <xdr:sp macro="" textlink="">
      <xdr:nvSpPr>
        <xdr:cNvPr id="418" name="AutoShape 153" descr="+">
          <a:extLst>
            <a:ext uri="{FF2B5EF4-FFF2-40B4-BE49-F238E27FC236}">
              <a16:creationId xmlns:a16="http://schemas.microsoft.com/office/drawing/2014/main" id="{B5BDDF30-7A62-42BA-AB12-07CB52C59C45}"/>
            </a:ext>
          </a:extLst>
        </xdr:cNvPr>
        <xdr:cNvSpPr>
          <a:spLocks noChangeAspect="1" noChangeArrowheads="1"/>
        </xdr:cNvSpPr>
      </xdr:nvSpPr>
      <xdr:spPr bwMode="auto">
        <a:xfrm>
          <a:off x="1885950" y="2695575"/>
          <a:ext cx="304800" cy="3047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2410"/>
    <xdr:sp macro="" textlink="">
      <xdr:nvSpPr>
        <xdr:cNvPr id="419" name="AutoShape 154" descr="+">
          <a:extLst>
            <a:ext uri="{FF2B5EF4-FFF2-40B4-BE49-F238E27FC236}">
              <a16:creationId xmlns:a16="http://schemas.microsoft.com/office/drawing/2014/main" id="{6B297E5D-1618-424D-94EE-D7B0A17EC360}"/>
            </a:ext>
          </a:extLst>
        </xdr:cNvPr>
        <xdr:cNvSpPr>
          <a:spLocks noChangeAspect="1" noChangeArrowheads="1"/>
        </xdr:cNvSpPr>
      </xdr:nvSpPr>
      <xdr:spPr bwMode="auto">
        <a:xfrm>
          <a:off x="1885950" y="2695575"/>
          <a:ext cx="304800" cy="1724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20" name="AutoShape 155" descr="+">
          <a:extLst>
            <a:ext uri="{FF2B5EF4-FFF2-40B4-BE49-F238E27FC236}">
              <a16:creationId xmlns:a16="http://schemas.microsoft.com/office/drawing/2014/main" id="{772642D1-4168-43C5-B827-9F458D8CC77B}"/>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0"/>
    <xdr:sp macro="" textlink="">
      <xdr:nvSpPr>
        <xdr:cNvPr id="421" name="AutoShape 156" descr="+">
          <a:extLst>
            <a:ext uri="{FF2B5EF4-FFF2-40B4-BE49-F238E27FC236}">
              <a16:creationId xmlns:a16="http://schemas.microsoft.com/office/drawing/2014/main" id="{9242FDCA-8012-47B4-B9A6-8B2BD53EFAE4}"/>
            </a:ext>
          </a:extLst>
        </xdr:cNvPr>
        <xdr:cNvSpPr>
          <a:spLocks noChangeAspect="1" noChangeArrowheads="1"/>
        </xdr:cNvSpPr>
      </xdr:nvSpPr>
      <xdr:spPr bwMode="auto">
        <a:xfrm>
          <a:off x="1885950" y="269557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2"/>
    <xdr:sp macro="" textlink="">
      <xdr:nvSpPr>
        <xdr:cNvPr id="422" name="AutoShape 157" descr="+">
          <a:extLst>
            <a:ext uri="{FF2B5EF4-FFF2-40B4-BE49-F238E27FC236}">
              <a16:creationId xmlns:a16="http://schemas.microsoft.com/office/drawing/2014/main" id="{61190CAC-7019-49CD-95F2-BCBDE90E4F95}"/>
            </a:ext>
          </a:extLst>
        </xdr:cNvPr>
        <xdr:cNvSpPr>
          <a:spLocks noChangeAspect="1" noChangeArrowheads="1"/>
        </xdr:cNvSpPr>
      </xdr:nvSpPr>
      <xdr:spPr bwMode="auto">
        <a:xfrm>
          <a:off x="1885950" y="2695575"/>
          <a:ext cx="304800" cy="204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23" name="AutoShape 158" descr="+">
          <a:extLst>
            <a:ext uri="{FF2B5EF4-FFF2-40B4-BE49-F238E27FC236}">
              <a16:creationId xmlns:a16="http://schemas.microsoft.com/office/drawing/2014/main" id="{A868D6CA-61B7-4C99-B632-E7BB30E2F247}"/>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24" name="AutoShape 159" descr="+">
          <a:extLst>
            <a:ext uri="{FF2B5EF4-FFF2-40B4-BE49-F238E27FC236}">
              <a16:creationId xmlns:a16="http://schemas.microsoft.com/office/drawing/2014/main" id="{E8A59970-E990-425A-8894-789C8EFB8CA7}"/>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6"/>
    <xdr:sp macro="" textlink="">
      <xdr:nvSpPr>
        <xdr:cNvPr id="425" name="AutoShape 160" descr="+">
          <a:extLst>
            <a:ext uri="{FF2B5EF4-FFF2-40B4-BE49-F238E27FC236}">
              <a16:creationId xmlns:a16="http://schemas.microsoft.com/office/drawing/2014/main" id="{F86FF500-9884-42F0-98D7-A11925B7C1C8}"/>
            </a:ext>
          </a:extLst>
        </xdr:cNvPr>
        <xdr:cNvSpPr>
          <a:spLocks noChangeAspect="1" noChangeArrowheads="1"/>
        </xdr:cNvSpPr>
      </xdr:nvSpPr>
      <xdr:spPr bwMode="auto">
        <a:xfrm>
          <a:off x="1885950" y="2695575"/>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2"/>
    <xdr:sp macro="" textlink="">
      <xdr:nvSpPr>
        <xdr:cNvPr id="426" name="AutoShape 161" descr="+">
          <a:extLst>
            <a:ext uri="{FF2B5EF4-FFF2-40B4-BE49-F238E27FC236}">
              <a16:creationId xmlns:a16="http://schemas.microsoft.com/office/drawing/2014/main" id="{7E0590ED-9726-41DC-88F1-EE975C0BE4B4}"/>
            </a:ext>
          </a:extLst>
        </xdr:cNvPr>
        <xdr:cNvSpPr>
          <a:spLocks noChangeAspect="1" noChangeArrowheads="1"/>
        </xdr:cNvSpPr>
      </xdr:nvSpPr>
      <xdr:spPr bwMode="auto">
        <a:xfrm>
          <a:off x="1885950" y="2695575"/>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27" name="AutoShape 162" descr="+">
          <a:extLst>
            <a:ext uri="{FF2B5EF4-FFF2-40B4-BE49-F238E27FC236}">
              <a16:creationId xmlns:a16="http://schemas.microsoft.com/office/drawing/2014/main" id="{0CF55552-5478-4C1D-ADA2-9532CFAA50F6}"/>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28" name="AutoShape 163" descr="+">
          <a:extLst>
            <a:ext uri="{FF2B5EF4-FFF2-40B4-BE49-F238E27FC236}">
              <a16:creationId xmlns:a16="http://schemas.microsoft.com/office/drawing/2014/main" id="{CAF6322D-0B9F-4292-A7CC-D74C2057E94A}"/>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0"/>
    <xdr:sp macro="" textlink="">
      <xdr:nvSpPr>
        <xdr:cNvPr id="429" name="AutoShape 164" descr="+">
          <a:extLst>
            <a:ext uri="{FF2B5EF4-FFF2-40B4-BE49-F238E27FC236}">
              <a16:creationId xmlns:a16="http://schemas.microsoft.com/office/drawing/2014/main" id="{5C777FBA-69AD-4440-A921-35F553D313C4}"/>
            </a:ext>
          </a:extLst>
        </xdr:cNvPr>
        <xdr:cNvSpPr>
          <a:spLocks noChangeAspect="1" noChangeArrowheads="1"/>
        </xdr:cNvSpPr>
      </xdr:nvSpPr>
      <xdr:spPr bwMode="auto">
        <a:xfrm>
          <a:off x="1885950" y="269557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30" name="AutoShape 165" descr="+">
          <a:extLst>
            <a:ext uri="{FF2B5EF4-FFF2-40B4-BE49-F238E27FC236}">
              <a16:creationId xmlns:a16="http://schemas.microsoft.com/office/drawing/2014/main" id="{C185CB6F-F137-40D5-8038-DAD3BFB77FF3}"/>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31" name="AutoShape 166" descr="+">
          <a:extLst>
            <a:ext uri="{FF2B5EF4-FFF2-40B4-BE49-F238E27FC236}">
              <a16:creationId xmlns:a16="http://schemas.microsoft.com/office/drawing/2014/main" id="{80EA1E0D-8742-4E10-9487-E8D46A9F1D13}"/>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432" name="AutoShape 167" descr="+">
          <a:extLst>
            <a:ext uri="{FF2B5EF4-FFF2-40B4-BE49-F238E27FC236}">
              <a16:creationId xmlns:a16="http://schemas.microsoft.com/office/drawing/2014/main" id="{EDEFD481-020D-4589-8E99-9410AAEE0C9F}"/>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8885"/>
    <xdr:sp macro="" textlink="">
      <xdr:nvSpPr>
        <xdr:cNvPr id="433" name="AutoShape 168" descr="+">
          <a:extLst>
            <a:ext uri="{FF2B5EF4-FFF2-40B4-BE49-F238E27FC236}">
              <a16:creationId xmlns:a16="http://schemas.microsoft.com/office/drawing/2014/main" id="{D2EA5974-F4EF-4BD4-89AC-06FC12C01DAF}"/>
            </a:ext>
          </a:extLst>
        </xdr:cNvPr>
        <xdr:cNvSpPr>
          <a:spLocks noChangeAspect="1" noChangeArrowheads="1"/>
        </xdr:cNvSpPr>
      </xdr:nvSpPr>
      <xdr:spPr bwMode="auto">
        <a:xfrm>
          <a:off x="1885950" y="2695575"/>
          <a:ext cx="304800" cy="3088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5533"/>
    <xdr:sp macro="" textlink="">
      <xdr:nvSpPr>
        <xdr:cNvPr id="434" name="AutoShape 169" descr="+">
          <a:extLst>
            <a:ext uri="{FF2B5EF4-FFF2-40B4-BE49-F238E27FC236}">
              <a16:creationId xmlns:a16="http://schemas.microsoft.com/office/drawing/2014/main" id="{DCA40666-53BA-41D8-B780-A4CE18FFCC83}"/>
            </a:ext>
          </a:extLst>
        </xdr:cNvPr>
        <xdr:cNvSpPr>
          <a:spLocks noChangeAspect="1" noChangeArrowheads="1"/>
        </xdr:cNvSpPr>
      </xdr:nvSpPr>
      <xdr:spPr bwMode="auto">
        <a:xfrm>
          <a:off x="1885950" y="2695575"/>
          <a:ext cx="304800" cy="1755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6"/>
    <xdr:sp macro="" textlink="">
      <xdr:nvSpPr>
        <xdr:cNvPr id="435" name="AutoShape 170" descr="+">
          <a:extLst>
            <a:ext uri="{FF2B5EF4-FFF2-40B4-BE49-F238E27FC236}">
              <a16:creationId xmlns:a16="http://schemas.microsoft.com/office/drawing/2014/main" id="{82318FD4-A4DE-454F-981E-03E9C2DC6E27}"/>
            </a:ext>
          </a:extLst>
        </xdr:cNvPr>
        <xdr:cNvSpPr>
          <a:spLocks noChangeAspect="1" noChangeArrowheads="1"/>
        </xdr:cNvSpPr>
      </xdr:nvSpPr>
      <xdr:spPr bwMode="auto">
        <a:xfrm>
          <a:off x="1885950" y="2695575"/>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8883"/>
    <xdr:sp macro="" textlink="">
      <xdr:nvSpPr>
        <xdr:cNvPr id="436" name="AutoShape 171" descr="+">
          <a:extLst>
            <a:ext uri="{FF2B5EF4-FFF2-40B4-BE49-F238E27FC236}">
              <a16:creationId xmlns:a16="http://schemas.microsoft.com/office/drawing/2014/main" id="{8FA4D6C8-4928-4227-ADD2-9F260B238EB4}"/>
            </a:ext>
          </a:extLst>
        </xdr:cNvPr>
        <xdr:cNvSpPr>
          <a:spLocks noChangeAspect="1" noChangeArrowheads="1"/>
        </xdr:cNvSpPr>
      </xdr:nvSpPr>
      <xdr:spPr bwMode="auto">
        <a:xfrm>
          <a:off x="1885950" y="2695575"/>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8"/>
    <xdr:sp macro="" textlink="">
      <xdr:nvSpPr>
        <xdr:cNvPr id="437" name="AutoShape 172" descr="+">
          <a:extLst>
            <a:ext uri="{FF2B5EF4-FFF2-40B4-BE49-F238E27FC236}">
              <a16:creationId xmlns:a16="http://schemas.microsoft.com/office/drawing/2014/main" id="{B5E147F8-9676-4121-BFCF-1B3B5EE08657}"/>
            </a:ext>
          </a:extLst>
        </xdr:cNvPr>
        <xdr:cNvSpPr>
          <a:spLocks noChangeAspect="1" noChangeArrowheads="1"/>
        </xdr:cNvSpPr>
      </xdr:nvSpPr>
      <xdr:spPr bwMode="auto">
        <a:xfrm>
          <a:off x="1885950" y="269557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38" name="AutoShape 173" descr="+">
          <a:extLst>
            <a:ext uri="{FF2B5EF4-FFF2-40B4-BE49-F238E27FC236}">
              <a16:creationId xmlns:a16="http://schemas.microsoft.com/office/drawing/2014/main" id="{AEDF3813-67F9-467A-8E87-582C1804D007}"/>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3131"/>
    <xdr:sp macro="" textlink="">
      <xdr:nvSpPr>
        <xdr:cNvPr id="439" name="AutoShape 174" descr="+">
          <a:extLst>
            <a:ext uri="{FF2B5EF4-FFF2-40B4-BE49-F238E27FC236}">
              <a16:creationId xmlns:a16="http://schemas.microsoft.com/office/drawing/2014/main" id="{CC2DBBCA-58E0-4E5B-84D0-E20D683B6CCD}"/>
            </a:ext>
          </a:extLst>
        </xdr:cNvPr>
        <xdr:cNvSpPr>
          <a:spLocks noChangeAspect="1" noChangeArrowheads="1"/>
        </xdr:cNvSpPr>
      </xdr:nvSpPr>
      <xdr:spPr bwMode="auto">
        <a:xfrm>
          <a:off x="1885950" y="2695575"/>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40" name="AutoShape 175" descr="+">
          <a:extLst>
            <a:ext uri="{FF2B5EF4-FFF2-40B4-BE49-F238E27FC236}">
              <a16:creationId xmlns:a16="http://schemas.microsoft.com/office/drawing/2014/main" id="{F083D907-66CC-4E73-9425-BD4B94EA0927}"/>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441" name="AutoShape 176" descr="+">
          <a:extLst>
            <a:ext uri="{FF2B5EF4-FFF2-40B4-BE49-F238E27FC236}">
              <a16:creationId xmlns:a16="http://schemas.microsoft.com/office/drawing/2014/main" id="{80B16DD7-2876-4054-9670-97FDCD8E02E9}"/>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42" name="AutoShape 177" descr="+">
          <a:extLst>
            <a:ext uri="{FF2B5EF4-FFF2-40B4-BE49-F238E27FC236}">
              <a16:creationId xmlns:a16="http://schemas.microsoft.com/office/drawing/2014/main" id="{34580B51-2839-460A-9D37-289CC370F513}"/>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43" name="AutoShape 178" descr="+">
          <a:extLst>
            <a:ext uri="{FF2B5EF4-FFF2-40B4-BE49-F238E27FC236}">
              <a16:creationId xmlns:a16="http://schemas.microsoft.com/office/drawing/2014/main" id="{FEAA46A0-7884-4DC4-8F92-2FCF5F94BAC5}"/>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44" name="AutoShape 179" descr="+">
          <a:extLst>
            <a:ext uri="{FF2B5EF4-FFF2-40B4-BE49-F238E27FC236}">
              <a16:creationId xmlns:a16="http://schemas.microsoft.com/office/drawing/2014/main" id="{8DC31C62-14A3-429E-A331-C1819C372F82}"/>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2"/>
    <xdr:sp macro="" textlink="">
      <xdr:nvSpPr>
        <xdr:cNvPr id="445" name="AutoShape 180" descr="+">
          <a:extLst>
            <a:ext uri="{FF2B5EF4-FFF2-40B4-BE49-F238E27FC236}">
              <a16:creationId xmlns:a16="http://schemas.microsoft.com/office/drawing/2014/main" id="{59F6A712-4E83-478A-BE0F-B1C9476112BA}"/>
            </a:ext>
          </a:extLst>
        </xdr:cNvPr>
        <xdr:cNvSpPr>
          <a:spLocks noChangeAspect="1" noChangeArrowheads="1"/>
        </xdr:cNvSpPr>
      </xdr:nvSpPr>
      <xdr:spPr bwMode="auto">
        <a:xfrm>
          <a:off x="1885950" y="2695575"/>
          <a:ext cx="304800" cy="1914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8"/>
    <xdr:sp macro="" textlink="">
      <xdr:nvSpPr>
        <xdr:cNvPr id="446" name="AutoShape 181" descr="+">
          <a:extLst>
            <a:ext uri="{FF2B5EF4-FFF2-40B4-BE49-F238E27FC236}">
              <a16:creationId xmlns:a16="http://schemas.microsoft.com/office/drawing/2014/main" id="{1D672B4E-D63A-4238-9C75-7D1631C985C4}"/>
            </a:ext>
          </a:extLst>
        </xdr:cNvPr>
        <xdr:cNvSpPr>
          <a:spLocks noChangeAspect="1" noChangeArrowheads="1"/>
        </xdr:cNvSpPr>
      </xdr:nvSpPr>
      <xdr:spPr bwMode="auto">
        <a:xfrm>
          <a:off x="1885950" y="269557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9916"/>
    <xdr:sp macro="" textlink="">
      <xdr:nvSpPr>
        <xdr:cNvPr id="447" name="AutoShape 182" descr="+">
          <a:extLst>
            <a:ext uri="{FF2B5EF4-FFF2-40B4-BE49-F238E27FC236}">
              <a16:creationId xmlns:a16="http://schemas.microsoft.com/office/drawing/2014/main" id="{ADDCC334-F2E5-46DB-9994-74449652876B}"/>
            </a:ext>
          </a:extLst>
        </xdr:cNvPr>
        <xdr:cNvSpPr>
          <a:spLocks noChangeAspect="1" noChangeArrowheads="1"/>
        </xdr:cNvSpPr>
      </xdr:nvSpPr>
      <xdr:spPr bwMode="auto">
        <a:xfrm>
          <a:off x="1885950" y="2695575"/>
          <a:ext cx="304800" cy="3099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48" name="AutoShape 183" descr="+">
          <a:extLst>
            <a:ext uri="{FF2B5EF4-FFF2-40B4-BE49-F238E27FC236}">
              <a16:creationId xmlns:a16="http://schemas.microsoft.com/office/drawing/2014/main" id="{9E9A65A0-4509-48AA-9BEE-06A75F6DC559}"/>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49" name="AutoShape 184" descr="+">
          <a:extLst>
            <a:ext uri="{FF2B5EF4-FFF2-40B4-BE49-F238E27FC236}">
              <a16:creationId xmlns:a16="http://schemas.microsoft.com/office/drawing/2014/main" id="{D347A85C-0B13-45A0-A1B8-9769D99F01C6}"/>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9"/>
    <xdr:sp macro="" textlink="">
      <xdr:nvSpPr>
        <xdr:cNvPr id="450" name="AutoShape 185" descr="+">
          <a:extLst>
            <a:ext uri="{FF2B5EF4-FFF2-40B4-BE49-F238E27FC236}">
              <a16:creationId xmlns:a16="http://schemas.microsoft.com/office/drawing/2014/main" id="{3FBCEAA1-1854-47F9-A3D2-0637D89B5A84}"/>
            </a:ext>
          </a:extLst>
        </xdr:cNvPr>
        <xdr:cNvSpPr>
          <a:spLocks noChangeAspect="1" noChangeArrowheads="1"/>
        </xdr:cNvSpPr>
      </xdr:nvSpPr>
      <xdr:spPr bwMode="auto">
        <a:xfrm>
          <a:off x="1885950" y="269557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451" name="AutoShape 186" descr="+">
          <a:extLst>
            <a:ext uri="{FF2B5EF4-FFF2-40B4-BE49-F238E27FC236}">
              <a16:creationId xmlns:a16="http://schemas.microsoft.com/office/drawing/2014/main" id="{9304928B-AA65-4DE4-9CE0-BA9F61861C06}"/>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52" name="AutoShape 187" descr="+">
          <a:extLst>
            <a:ext uri="{FF2B5EF4-FFF2-40B4-BE49-F238E27FC236}">
              <a16:creationId xmlns:a16="http://schemas.microsoft.com/office/drawing/2014/main" id="{1DB4D118-ADEA-4D1B-981C-7F8149FEF15A}"/>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453" name="AutoShape 188" descr="+">
          <a:extLst>
            <a:ext uri="{FF2B5EF4-FFF2-40B4-BE49-F238E27FC236}">
              <a16:creationId xmlns:a16="http://schemas.microsoft.com/office/drawing/2014/main" id="{1617E74F-8B2E-467B-8AA3-3FFB43E24549}"/>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54" name="AutoShape 189" descr="+">
          <a:extLst>
            <a:ext uri="{FF2B5EF4-FFF2-40B4-BE49-F238E27FC236}">
              <a16:creationId xmlns:a16="http://schemas.microsoft.com/office/drawing/2014/main" id="{A08F4EE6-3E6F-41C8-831B-BEA36191FAE7}"/>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2409"/>
    <xdr:sp macro="" textlink="">
      <xdr:nvSpPr>
        <xdr:cNvPr id="455" name="AutoShape 190" descr="+">
          <a:extLst>
            <a:ext uri="{FF2B5EF4-FFF2-40B4-BE49-F238E27FC236}">
              <a16:creationId xmlns:a16="http://schemas.microsoft.com/office/drawing/2014/main" id="{5182677D-04FB-4A1B-B8AD-CDD2863088A8}"/>
            </a:ext>
          </a:extLst>
        </xdr:cNvPr>
        <xdr:cNvSpPr>
          <a:spLocks noChangeAspect="1" noChangeArrowheads="1"/>
        </xdr:cNvSpPr>
      </xdr:nvSpPr>
      <xdr:spPr bwMode="auto">
        <a:xfrm>
          <a:off x="1885950" y="2695575"/>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56" name="AutoShape 191" descr="+">
          <a:extLst>
            <a:ext uri="{FF2B5EF4-FFF2-40B4-BE49-F238E27FC236}">
              <a16:creationId xmlns:a16="http://schemas.microsoft.com/office/drawing/2014/main" id="{5C335561-3835-44CE-AE73-9050189CB548}"/>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457" name="AutoShape 192" descr="+">
          <a:extLst>
            <a:ext uri="{FF2B5EF4-FFF2-40B4-BE49-F238E27FC236}">
              <a16:creationId xmlns:a16="http://schemas.microsoft.com/office/drawing/2014/main" id="{3C3730FF-C3F8-43A1-9EB3-5065D96E54BE}"/>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58" name="AutoShape 193" descr="+">
          <a:extLst>
            <a:ext uri="{FF2B5EF4-FFF2-40B4-BE49-F238E27FC236}">
              <a16:creationId xmlns:a16="http://schemas.microsoft.com/office/drawing/2014/main" id="{D69384D3-8658-487E-997F-62F8199135E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59" name="AutoShape 194" descr="+">
          <a:extLst>
            <a:ext uri="{FF2B5EF4-FFF2-40B4-BE49-F238E27FC236}">
              <a16:creationId xmlns:a16="http://schemas.microsoft.com/office/drawing/2014/main" id="{C9708E1F-5AE4-4C47-B5D9-3E63DDBE9787}"/>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6"/>
    <xdr:sp macro="" textlink="">
      <xdr:nvSpPr>
        <xdr:cNvPr id="460" name="AutoShape 195" descr="+">
          <a:extLst>
            <a:ext uri="{FF2B5EF4-FFF2-40B4-BE49-F238E27FC236}">
              <a16:creationId xmlns:a16="http://schemas.microsoft.com/office/drawing/2014/main" id="{613FAB76-8CDD-475A-B3E4-9186B7AA5866}"/>
            </a:ext>
          </a:extLst>
        </xdr:cNvPr>
        <xdr:cNvSpPr>
          <a:spLocks noChangeAspect="1" noChangeArrowheads="1"/>
        </xdr:cNvSpPr>
      </xdr:nvSpPr>
      <xdr:spPr bwMode="auto">
        <a:xfrm>
          <a:off x="1885950" y="269557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4"/>
    <xdr:sp macro="" textlink="">
      <xdr:nvSpPr>
        <xdr:cNvPr id="461" name="AutoShape 196" descr="+">
          <a:extLst>
            <a:ext uri="{FF2B5EF4-FFF2-40B4-BE49-F238E27FC236}">
              <a16:creationId xmlns:a16="http://schemas.microsoft.com/office/drawing/2014/main" id="{1B18E2C8-F62A-46EB-AC8D-178421DC1380}"/>
            </a:ext>
          </a:extLst>
        </xdr:cNvPr>
        <xdr:cNvSpPr>
          <a:spLocks noChangeAspect="1" noChangeArrowheads="1"/>
        </xdr:cNvSpPr>
      </xdr:nvSpPr>
      <xdr:spPr bwMode="auto">
        <a:xfrm>
          <a:off x="1885950" y="2695575"/>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0"/>
    <xdr:sp macro="" textlink="">
      <xdr:nvSpPr>
        <xdr:cNvPr id="462" name="AutoShape 197" descr="+">
          <a:extLst>
            <a:ext uri="{FF2B5EF4-FFF2-40B4-BE49-F238E27FC236}">
              <a16:creationId xmlns:a16="http://schemas.microsoft.com/office/drawing/2014/main" id="{C879937A-5CA6-43E6-9BC3-67B0AB63A2C8}"/>
            </a:ext>
          </a:extLst>
        </xdr:cNvPr>
        <xdr:cNvSpPr>
          <a:spLocks noChangeAspect="1" noChangeArrowheads="1"/>
        </xdr:cNvSpPr>
      </xdr:nvSpPr>
      <xdr:spPr bwMode="auto">
        <a:xfrm>
          <a:off x="1885950" y="2695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63" name="AutoShape 198" descr="+">
          <a:extLst>
            <a:ext uri="{FF2B5EF4-FFF2-40B4-BE49-F238E27FC236}">
              <a16:creationId xmlns:a16="http://schemas.microsoft.com/office/drawing/2014/main" id="{AAEE65AB-E88B-4DB3-9BC8-1345F817D277}"/>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2"/>
    <xdr:sp macro="" textlink="">
      <xdr:nvSpPr>
        <xdr:cNvPr id="464" name="AutoShape 199" descr="+">
          <a:extLst>
            <a:ext uri="{FF2B5EF4-FFF2-40B4-BE49-F238E27FC236}">
              <a16:creationId xmlns:a16="http://schemas.microsoft.com/office/drawing/2014/main" id="{597B05E0-E587-44F6-B331-6E2474E19315}"/>
            </a:ext>
          </a:extLst>
        </xdr:cNvPr>
        <xdr:cNvSpPr>
          <a:spLocks noChangeAspect="1" noChangeArrowheads="1"/>
        </xdr:cNvSpPr>
      </xdr:nvSpPr>
      <xdr:spPr bwMode="auto">
        <a:xfrm>
          <a:off x="1885950" y="2695575"/>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3470"/>
    <xdr:sp macro="" textlink="">
      <xdr:nvSpPr>
        <xdr:cNvPr id="465" name="AutoShape 200" descr="+">
          <a:extLst>
            <a:ext uri="{FF2B5EF4-FFF2-40B4-BE49-F238E27FC236}">
              <a16:creationId xmlns:a16="http://schemas.microsoft.com/office/drawing/2014/main" id="{9366DA6F-446B-46CA-851F-71E1DC8F47B5}"/>
            </a:ext>
          </a:extLst>
        </xdr:cNvPr>
        <xdr:cNvSpPr>
          <a:spLocks noChangeAspect="1" noChangeArrowheads="1"/>
        </xdr:cNvSpPr>
      </xdr:nvSpPr>
      <xdr:spPr bwMode="auto">
        <a:xfrm>
          <a:off x="1885950" y="2695575"/>
          <a:ext cx="304800" cy="183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66" name="AutoShape 201" descr="+">
          <a:extLst>
            <a:ext uri="{FF2B5EF4-FFF2-40B4-BE49-F238E27FC236}">
              <a16:creationId xmlns:a16="http://schemas.microsoft.com/office/drawing/2014/main" id="{0741E6CD-0368-4F71-8DA1-D34E053F99B5}"/>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67" name="AutoShape 202" descr="+">
          <a:extLst>
            <a:ext uri="{FF2B5EF4-FFF2-40B4-BE49-F238E27FC236}">
              <a16:creationId xmlns:a16="http://schemas.microsoft.com/office/drawing/2014/main" id="{714347C8-4860-411F-8817-54B58C96D0B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68" name="AutoShape 203" descr="+">
          <a:extLst>
            <a:ext uri="{FF2B5EF4-FFF2-40B4-BE49-F238E27FC236}">
              <a16:creationId xmlns:a16="http://schemas.microsoft.com/office/drawing/2014/main" id="{0A9DC0B4-3B5C-4E1B-9737-DA2A59C28029}"/>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69" name="AutoShape 204" descr="+">
          <a:extLst>
            <a:ext uri="{FF2B5EF4-FFF2-40B4-BE49-F238E27FC236}">
              <a16:creationId xmlns:a16="http://schemas.microsoft.com/office/drawing/2014/main" id="{A0C06910-52A6-4562-9111-63CF39361E98}"/>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70" name="AutoShape 205" descr="+">
          <a:extLst>
            <a:ext uri="{FF2B5EF4-FFF2-40B4-BE49-F238E27FC236}">
              <a16:creationId xmlns:a16="http://schemas.microsoft.com/office/drawing/2014/main" id="{9F68A162-862F-4267-8659-C93BFDFCE01E}"/>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71" name="AutoShape 206" descr="+">
          <a:extLst>
            <a:ext uri="{FF2B5EF4-FFF2-40B4-BE49-F238E27FC236}">
              <a16:creationId xmlns:a16="http://schemas.microsoft.com/office/drawing/2014/main" id="{228A02BB-43C9-4D3A-AE31-261182A077E3}"/>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7"/>
    <xdr:sp macro="" textlink="">
      <xdr:nvSpPr>
        <xdr:cNvPr id="472" name="AutoShape 207" descr="+">
          <a:extLst>
            <a:ext uri="{FF2B5EF4-FFF2-40B4-BE49-F238E27FC236}">
              <a16:creationId xmlns:a16="http://schemas.microsoft.com/office/drawing/2014/main" id="{AF56578F-BF23-44DD-BDDF-4306221ED41F}"/>
            </a:ext>
          </a:extLst>
        </xdr:cNvPr>
        <xdr:cNvSpPr>
          <a:spLocks noChangeAspect="1" noChangeArrowheads="1"/>
        </xdr:cNvSpPr>
      </xdr:nvSpPr>
      <xdr:spPr bwMode="auto">
        <a:xfrm>
          <a:off x="1885950" y="269557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73" name="AutoShape 208" descr="+">
          <a:extLst>
            <a:ext uri="{FF2B5EF4-FFF2-40B4-BE49-F238E27FC236}">
              <a16:creationId xmlns:a16="http://schemas.microsoft.com/office/drawing/2014/main" id="{A1FBAF7A-345C-4341-87BB-727B0746AFF4}"/>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474" name="AutoShape 209" descr="+">
          <a:extLst>
            <a:ext uri="{FF2B5EF4-FFF2-40B4-BE49-F238E27FC236}">
              <a16:creationId xmlns:a16="http://schemas.microsoft.com/office/drawing/2014/main" id="{EF16CF8B-789F-4F9D-A943-CC8B169FFB91}"/>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1"/>
    <xdr:sp macro="" textlink="">
      <xdr:nvSpPr>
        <xdr:cNvPr id="475" name="AutoShape 210" descr="+">
          <a:extLst>
            <a:ext uri="{FF2B5EF4-FFF2-40B4-BE49-F238E27FC236}">
              <a16:creationId xmlns:a16="http://schemas.microsoft.com/office/drawing/2014/main" id="{20F49B8C-2080-4B28-8484-0394C1254403}"/>
            </a:ext>
          </a:extLst>
        </xdr:cNvPr>
        <xdr:cNvSpPr>
          <a:spLocks noChangeAspect="1" noChangeArrowheads="1"/>
        </xdr:cNvSpPr>
      </xdr:nvSpPr>
      <xdr:spPr bwMode="auto">
        <a:xfrm>
          <a:off x="1885950" y="2695575"/>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0"/>
    <xdr:sp macro="" textlink="">
      <xdr:nvSpPr>
        <xdr:cNvPr id="476" name="AutoShape 211" descr="+">
          <a:extLst>
            <a:ext uri="{FF2B5EF4-FFF2-40B4-BE49-F238E27FC236}">
              <a16:creationId xmlns:a16="http://schemas.microsoft.com/office/drawing/2014/main" id="{63ED716E-4A63-44FD-902E-5571599AF4DD}"/>
            </a:ext>
          </a:extLst>
        </xdr:cNvPr>
        <xdr:cNvSpPr>
          <a:spLocks noChangeAspect="1" noChangeArrowheads="1"/>
        </xdr:cNvSpPr>
      </xdr:nvSpPr>
      <xdr:spPr bwMode="auto">
        <a:xfrm>
          <a:off x="1885950" y="2695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76830"/>
    <xdr:sp macro="" textlink="">
      <xdr:nvSpPr>
        <xdr:cNvPr id="477" name="AutoShape 212" descr="+">
          <a:extLst>
            <a:ext uri="{FF2B5EF4-FFF2-40B4-BE49-F238E27FC236}">
              <a16:creationId xmlns:a16="http://schemas.microsoft.com/office/drawing/2014/main" id="{B061D26E-7838-47D3-9F56-BF40D91D7CCF}"/>
            </a:ext>
          </a:extLst>
        </xdr:cNvPr>
        <xdr:cNvSpPr>
          <a:spLocks noChangeAspect="1" noChangeArrowheads="1"/>
        </xdr:cNvSpPr>
      </xdr:nvSpPr>
      <xdr:spPr bwMode="auto">
        <a:xfrm>
          <a:off x="1885950" y="2695575"/>
          <a:ext cx="304800" cy="2768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3131"/>
    <xdr:sp macro="" textlink="">
      <xdr:nvSpPr>
        <xdr:cNvPr id="478" name="AutoShape 213" descr="+">
          <a:extLst>
            <a:ext uri="{FF2B5EF4-FFF2-40B4-BE49-F238E27FC236}">
              <a16:creationId xmlns:a16="http://schemas.microsoft.com/office/drawing/2014/main" id="{2B453E1B-5D03-49B4-A8EB-E1140E65BBA8}"/>
            </a:ext>
          </a:extLst>
        </xdr:cNvPr>
        <xdr:cNvSpPr>
          <a:spLocks noChangeAspect="1" noChangeArrowheads="1"/>
        </xdr:cNvSpPr>
      </xdr:nvSpPr>
      <xdr:spPr bwMode="auto">
        <a:xfrm>
          <a:off x="1885950" y="2695575"/>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79" name="AutoShape 214" descr="+">
          <a:extLst>
            <a:ext uri="{FF2B5EF4-FFF2-40B4-BE49-F238E27FC236}">
              <a16:creationId xmlns:a16="http://schemas.microsoft.com/office/drawing/2014/main" id="{C6DCFE28-DC2B-4680-8D31-1B1BA6DD0574}"/>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80" name="AutoShape 215" descr="+">
          <a:extLst>
            <a:ext uri="{FF2B5EF4-FFF2-40B4-BE49-F238E27FC236}">
              <a16:creationId xmlns:a16="http://schemas.microsoft.com/office/drawing/2014/main" id="{D0ADE2A6-ADE5-45B9-9F43-8843964DB64B}"/>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3090"/>
    <xdr:sp macro="" textlink="">
      <xdr:nvSpPr>
        <xdr:cNvPr id="481" name="AutoShape 216" descr="+">
          <a:extLst>
            <a:ext uri="{FF2B5EF4-FFF2-40B4-BE49-F238E27FC236}">
              <a16:creationId xmlns:a16="http://schemas.microsoft.com/office/drawing/2014/main" id="{634C478E-94BF-4F6D-B748-537618C8AD4D}"/>
            </a:ext>
          </a:extLst>
        </xdr:cNvPr>
        <xdr:cNvSpPr>
          <a:spLocks noChangeAspect="1" noChangeArrowheads="1"/>
        </xdr:cNvSpPr>
      </xdr:nvSpPr>
      <xdr:spPr bwMode="auto">
        <a:xfrm>
          <a:off x="1885950" y="2695575"/>
          <a:ext cx="304800" cy="203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82" name="AutoShape 217" descr="+">
          <a:extLst>
            <a:ext uri="{FF2B5EF4-FFF2-40B4-BE49-F238E27FC236}">
              <a16:creationId xmlns:a16="http://schemas.microsoft.com/office/drawing/2014/main" id="{00F06690-9277-4FBA-B504-4469957CBD60}"/>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83" name="AutoShape 218" descr="+">
          <a:extLst>
            <a:ext uri="{FF2B5EF4-FFF2-40B4-BE49-F238E27FC236}">
              <a16:creationId xmlns:a16="http://schemas.microsoft.com/office/drawing/2014/main" id="{D3F54FD5-DF59-453E-9E74-5A0E2B3894A0}"/>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7"/>
    <xdr:sp macro="" textlink="">
      <xdr:nvSpPr>
        <xdr:cNvPr id="484" name="AutoShape 219" descr="+">
          <a:extLst>
            <a:ext uri="{FF2B5EF4-FFF2-40B4-BE49-F238E27FC236}">
              <a16:creationId xmlns:a16="http://schemas.microsoft.com/office/drawing/2014/main" id="{631B12A1-7BC2-4B38-A304-8DA036D03AE2}"/>
            </a:ext>
          </a:extLst>
        </xdr:cNvPr>
        <xdr:cNvSpPr>
          <a:spLocks noChangeAspect="1" noChangeArrowheads="1"/>
        </xdr:cNvSpPr>
      </xdr:nvSpPr>
      <xdr:spPr bwMode="auto">
        <a:xfrm>
          <a:off x="1885950" y="2695575"/>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85" name="AutoShape 220" descr="+">
          <a:extLst>
            <a:ext uri="{FF2B5EF4-FFF2-40B4-BE49-F238E27FC236}">
              <a16:creationId xmlns:a16="http://schemas.microsoft.com/office/drawing/2014/main" id="{64EEFE36-FC25-494F-B430-ECD05F4AD8EA}"/>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86" name="AutoShape 221" descr="+">
          <a:extLst>
            <a:ext uri="{FF2B5EF4-FFF2-40B4-BE49-F238E27FC236}">
              <a16:creationId xmlns:a16="http://schemas.microsoft.com/office/drawing/2014/main" id="{241BC777-C9B6-487C-A8C9-056EA8AE15C2}"/>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87" name="AutoShape 222" descr="+">
          <a:extLst>
            <a:ext uri="{FF2B5EF4-FFF2-40B4-BE49-F238E27FC236}">
              <a16:creationId xmlns:a16="http://schemas.microsoft.com/office/drawing/2014/main" id="{C78B6AB7-F79C-4E68-8B19-1EC418D3DC3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88" name="AutoShape 223" descr="+">
          <a:extLst>
            <a:ext uri="{FF2B5EF4-FFF2-40B4-BE49-F238E27FC236}">
              <a16:creationId xmlns:a16="http://schemas.microsoft.com/office/drawing/2014/main" id="{840555B1-3532-46DE-82F7-0F6B28ADE2F2}"/>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89" name="AutoShape 224" descr="+">
          <a:extLst>
            <a:ext uri="{FF2B5EF4-FFF2-40B4-BE49-F238E27FC236}">
              <a16:creationId xmlns:a16="http://schemas.microsoft.com/office/drawing/2014/main" id="{1DA9E61D-F89F-4837-B2A7-BEF976505565}"/>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0"/>
    <xdr:sp macro="" textlink="">
      <xdr:nvSpPr>
        <xdr:cNvPr id="490" name="AutoShape 225" descr="+">
          <a:extLst>
            <a:ext uri="{FF2B5EF4-FFF2-40B4-BE49-F238E27FC236}">
              <a16:creationId xmlns:a16="http://schemas.microsoft.com/office/drawing/2014/main" id="{148B3EED-E147-4DB0-9C8F-A4EC3A73898A}"/>
            </a:ext>
          </a:extLst>
        </xdr:cNvPr>
        <xdr:cNvSpPr>
          <a:spLocks noChangeAspect="1" noChangeArrowheads="1"/>
        </xdr:cNvSpPr>
      </xdr:nvSpPr>
      <xdr:spPr bwMode="auto">
        <a:xfrm>
          <a:off x="1885950" y="269557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2"/>
    <xdr:sp macro="" textlink="">
      <xdr:nvSpPr>
        <xdr:cNvPr id="491" name="AutoShape 226" descr="+">
          <a:extLst>
            <a:ext uri="{FF2B5EF4-FFF2-40B4-BE49-F238E27FC236}">
              <a16:creationId xmlns:a16="http://schemas.microsoft.com/office/drawing/2014/main" id="{8A590588-34E1-4896-BE34-62771AC22FFA}"/>
            </a:ext>
          </a:extLst>
        </xdr:cNvPr>
        <xdr:cNvSpPr>
          <a:spLocks noChangeAspect="1" noChangeArrowheads="1"/>
        </xdr:cNvSpPr>
      </xdr:nvSpPr>
      <xdr:spPr bwMode="auto">
        <a:xfrm>
          <a:off x="1885950" y="2695575"/>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92" name="AutoShape 227" descr="+">
          <a:extLst>
            <a:ext uri="{FF2B5EF4-FFF2-40B4-BE49-F238E27FC236}">
              <a16:creationId xmlns:a16="http://schemas.microsoft.com/office/drawing/2014/main" id="{6FD03CD7-FE06-4234-B3B4-0C202A9C0947}"/>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93" name="AutoShape 228" descr="+">
          <a:extLst>
            <a:ext uri="{FF2B5EF4-FFF2-40B4-BE49-F238E27FC236}">
              <a16:creationId xmlns:a16="http://schemas.microsoft.com/office/drawing/2014/main" id="{4CF2D7E8-2296-4CF2-B6CD-F4E09C8985AC}"/>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6479"/>
    <xdr:sp macro="" textlink="">
      <xdr:nvSpPr>
        <xdr:cNvPr id="494" name="AutoShape 229" descr="+">
          <a:extLst>
            <a:ext uri="{FF2B5EF4-FFF2-40B4-BE49-F238E27FC236}">
              <a16:creationId xmlns:a16="http://schemas.microsoft.com/office/drawing/2014/main" id="{C106DE18-125D-42EC-8079-9BC0214F3AF8}"/>
            </a:ext>
          </a:extLst>
        </xdr:cNvPr>
        <xdr:cNvSpPr>
          <a:spLocks noChangeAspect="1" noChangeArrowheads="1"/>
        </xdr:cNvSpPr>
      </xdr:nvSpPr>
      <xdr:spPr bwMode="auto">
        <a:xfrm>
          <a:off x="1885950" y="2695575"/>
          <a:ext cx="304800" cy="30647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1"/>
    <xdr:sp macro="" textlink="">
      <xdr:nvSpPr>
        <xdr:cNvPr id="495" name="AutoShape 230" descr="+">
          <a:extLst>
            <a:ext uri="{FF2B5EF4-FFF2-40B4-BE49-F238E27FC236}">
              <a16:creationId xmlns:a16="http://schemas.microsoft.com/office/drawing/2014/main" id="{DAEC5FD8-C9D8-4460-B779-60C65381F06B}"/>
            </a:ext>
          </a:extLst>
        </xdr:cNvPr>
        <xdr:cNvSpPr>
          <a:spLocks noChangeAspect="1" noChangeArrowheads="1"/>
        </xdr:cNvSpPr>
      </xdr:nvSpPr>
      <xdr:spPr bwMode="auto">
        <a:xfrm>
          <a:off x="1885950" y="269557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96" name="AutoShape 231" descr="+">
          <a:extLst>
            <a:ext uri="{FF2B5EF4-FFF2-40B4-BE49-F238E27FC236}">
              <a16:creationId xmlns:a16="http://schemas.microsoft.com/office/drawing/2014/main" id="{8C6755FE-E292-4ED5-90E3-AED4076CACD8}"/>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497" name="AutoShape 232" descr="+">
          <a:extLst>
            <a:ext uri="{FF2B5EF4-FFF2-40B4-BE49-F238E27FC236}">
              <a16:creationId xmlns:a16="http://schemas.microsoft.com/office/drawing/2014/main" id="{31D2985C-F851-4377-B3A5-76599B1277A5}"/>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98" name="AutoShape 233" descr="+">
          <a:extLst>
            <a:ext uri="{FF2B5EF4-FFF2-40B4-BE49-F238E27FC236}">
              <a16:creationId xmlns:a16="http://schemas.microsoft.com/office/drawing/2014/main" id="{59E32771-B0E1-43E0-8A48-C52DAD524009}"/>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99" name="AutoShape 234" descr="+">
          <a:extLst>
            <a:ext uri="{FF2B5EF4-FFF2-40B4-BE49-F238E27FC236}">
              <a16:creationId xmlns:a16="http://schemas.microsoft.com/office/drawing/2014/main" id="{5E3239AE-D522-40F6-BDC1-F4559455F032}"/>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00" name="AutoShape 235" descr="+">
          <a:extLst>
            <a:ext uri="{FF2B5EF4-FFF2-40B4-BE49-F238E27FC236}">
              <a16:creationId xmlns:a16="http://schemas.microsoft.com/office/drawing/2014/main" id="{57DAFE84-1BA6-432D-9CC6-E4E8BC9FB726}"/>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01" name="AutoShape 236" descr="+">
          <a:extLst>
            <a:ext uri="{FF2B5EF4-FFF2-40B4-BE49-F238E27FC236}">
              <a16:creationId xmlns:a16="http://schemas.microsoft.com/office/drawing/2014/main" id="{2743E36B-2F3D-45B7-85AE-3F69EEAA22E6}"/>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502" name="AutoShape 237" descr="+">
          <a:extLst>
            <a:ext uri="{FF2B5EF4-FFF2-40B4-BE49-F238E27FC236}">
              <a16:creationId xmlns:a16="http://schemas.microsoft.com/office/drawing/2014/main" id="{280B6C95-0339-43B9-BF73-0C075E018E35}"/>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4"/>
    <xdr:sp macro="" textlink="">
      <xdr:nvSpPr>
        <xdr:cNvPr id="503" name="AutoShape 238" descr="+">
          <a:extLst>
            <a:ext uri="{FF2B5EF4-FFF2-40B4-BE49-F238E27FC236}">
              <a16:creationId xmlns:a16="http://schemas.microsoft.com/office/drawing/2014/main" id="{E344B4AF-FCBF-41A1-BBCA-FD51CB92A9DC}"/>
            </a:ext>
          </a:extLst>
        </xdr:cNvPr>
        <xdr:cNvSpPr>
          <a:spLocks noChangeAspect="1" noChangeArrowheads="1"/>
        </xdr:cNvSpPr>
      </xdr:nvSpPr>
      <xdr:spPr bwMode="auto">
        <a:xfrm>
          <a:off x="1885950" y="2695575"/>
          <a:ext cx="304800" cy="2105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04" name="AutoShape 239" descr="+">
          <a:extLst>
            <a:ext uri="{FF2B5EF4-FFF2-40B4-BE49-F238E27FC236}">
              <a16:creationId xmlns:a16="http://schemas.microsoft.com/office/drawing/2014/main" id="{2274B0CD-3CD0-486D-B0B2-8E33AE4B3931}"/>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05" name="AutoShape 240" descr="+">
          <a:extLst>
            <a:ext uri="{FF2B5EF4-FFF2-40B4-BE49-F238E27FC236}">
              <a16:creationId xmlns:a16="http://schemas.microsoft.com/office/drawing/2014/main" id="{0AA917EC-AF52-4895-A040-83E9A9B2AD1E}"/>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06" name="AutoShape 241" descr="+">
          <a:extLst>
            <a:ext uri="{FF2B5EF4-FFF2-40B4-BE49-F238E27FC236}">
              <a16:creationId xmlns:a16="http://schemas.microsoft.com/office/drawing/2014/main" id="{F815D172-0045-4D03-B661-23384DFA2711}"/>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8"/>
    <xdr:sp macro="" textlink="">
      <xdr:nvSpPr>
        <xdr:cNvPr id="507" name="AutoShape 242" descr="+">
          <a:extLst>
            <a:ext uri="{FF2B5EF4-FFF2-40B4-BE49-F238E27FC236}">
              <a16:creationId xmlns:a16="http://schemas.microsoft.com/office/drawing/2014/main" id="{16D29CE9-F354-4E9E-B402-62091D85337B}"/>
            </a:ext>
          </a:extLst>
        </xdr:cNvPr>
        <xdr:cNvSpPr>
          <a:spLocks noChangeAspect="1" noChangeArrowheads="1"/>
        </xdr:cNvSpPr>
      </xdr:nvSpPr>
      <xdr:spPr bwMode="auto">
        <a:xfrm>
          <a:off x="1885950" y="2695575"/>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08" name="AutoShape 243" descr="+">
          <a:extLst>
            <a:ext uri="{FF2B5EF4-FFF2-40B4-BE49-F238E27FC236}">
              <a16:creationId xmlns:a16="http://schemas.microsoft.com/office/drawing/2014/main" id="{EF0F963C-0FDD-4691-A99F-1F54D67EEBEF}"/>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09" name="AutoShape 244" descr="+">
          <a:extLst>
            <a:ext uri="{FF2B5EF4-FFF2-40B4-BE49-F238E27FC236}">
              <a16:creationId xmlns:a16="http://schemas.microsoft.com/office/drawing/2014/main" id="{00C941B1-DB2E-40F3-B056-67280B020D1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10" name="AutoShape 245" descr="+">
          <a:extLst>
            <a:ext uri="{FF2B5EF4-FFF2-40B4-BE49-F238E27FC236}">
              <a16:creationId xmlns:a16="http://schemas.microsoft.com/office/drawing/2014/main" id="{C76FA0FE-65F9-41F7-8B74-246DD9CFB855}"/>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511" name="AutoShape 246" descr="+">
          <a:extLst>
            <a:ext uri="{FF2B5EF4-FFF2-40B4-BE49-F238E27FC236}">
              <a16:creationId xmlns:a16="http://schemas.microsoft.com/office/drawing/2014/main" id="{54CD8AAE-D275-4A44-9026-0C10D52CD26C}"/>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12" name="AutoShape 247" descr="+">
          <a:extLst>
            <a:ext uri="{FF2B5EF4-FFF2-40B4-BE49-F238E27FC236}">
              <a16:creationId xmlns:a16="http://schemas.microsoft.com/office/drawing/2014/main" id="{3A4514BB-20B2-406C-A849-088FF095C443}"/>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513" name="AutoShape 248" descr="+">
          <a:extLst>
            <a:ext uri="{FF2B5EF4-FFF2-40B4-BE49-F238E27FC236}">
              <a16:creationId xmlns:a16="http://schemas.microsoft.com/office/drawing/2014/main" id="{52B1C5B5-878E-4B75-9961-2E41036521B9}"/>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14" name="AutoShape 249" descr="+">
          <a:extLst>
            <a:ext uri="{FF2B5EF4-FFF2-40B4-BE49-F238E27FC236}">
              <a16:creationId xmlns:a16="http://schemas.microsoft.com/office/drawing/2014/main" id="{9E36104C-4B06-413D-A391-58524B260A25}"/>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15" name="AutoShape 250" descr="+">
          <a:extLst>
            <a:ext uri="{FF2B5EF4-FFF2-40B4-BE49-F238E27FC236}">
              <a16:creationId xmlns:a16="http://schemas.microsoft.com/office/drawing/2014/main" id="{D7EA71C2-5A4A-45F4-B398-CC86BE0075FF}"/>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16" name="AutoShape 251" descr="+">
          <a:extLst>
            <a:ext uri="{FF2B5EF4-FFF2-40B4-BE49-F238E27FC236}">
              <a16:creationId xmlns:a16="http://schemas.microsoft.com/office/drawing/2014/main" id="{1299422C-5840-41B5-BA94-776BDE4E510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17" name="AutoShape 252" descr="+">
          <a:extLst>
            <a:ext uri="{FF2B5EF4-FFF2-40B4-BE49-F238E27FC236}">
              <a16:creationId xmlns:a16="http://schemas.microsoft.com/office/drawing/2014/main" id="{7ED57156-B259-4306-B3FC-01EBD7AFFD55}"/>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7"/>
    <xdr:sp macro="" textlink="">
      <xdr:nvSpPr>
        <xdr:cNvPr id="518" name="AutoShape 253" descr="+">
          <a:extLst>
            <a:ext uri="{FF2B5EF4-FFF2-40B4-BE49-F238E27FC236}">
              <a16:creationId xmlns:a16="http://schemas.microsoft.com/office/drawing/2014/main" id="{B70F50AC-6E86-47E7-9A81-4D9051479ECE}"/>
            </a:ext>
          </a:extLst>
        </xdr:cNvPr>
        <xdr:cNvSpPr>
          <a:spLocks noChangeAspect="1" noChangeArrowheads="1"/>
        </xdr:cNvSpPr>
      </xdr:nvSpPr>
      <xdr:spPr bwMode="auto">
        <a:xfrm>
          <a:off x="1885950" y="269557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19" name="AutoShape 254" descr="+">
          <a:extLst>
            <a:ext uri="{FF2B5EF4-FFF2-40B4-BE49-F238E27FC236}">
              <a16:creationId xmlns:a16="http://schemas.microsoft.com/office/drawing/2014/main" id="{B991F78A-4D0B-4ACC-BEFB-403986E9E86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20" name="AutoShape 255" descr="+">
          <a:extLst>
            <a:ext uri="{FF2B5EF4-FFF2-40B4-BE49-F238E27FC236}">
              <a16:creationId xmlns:a16="http://schemas.microsoft.com/office/drawing/2014/main" id="{5DF0A79E-D2C3-4DC9-A568-0EA176A66E74}"/>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21" name="AutoShape 256" descr="+">
          <a:extLst>
            <a:ext uri="{FF2B5EF4-FFF2-40B4-BE49-F238E27FC236}">
              <a16:creationId xmlns:a16="http://schemas.microsoft.com/office/drawing/2014/main" id="{FC8B75BD-A5D0-462A-A872-831EEDAD6D49}"/>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22" name="AutoShape 257" descr="+">
          <a:extLst>
            <a:ext uri="{FF2B5EF4-FFF2-40B4-BE49-F238E27FC236}">
              <a16:creationId xmlns:a16="http://schemas.microsoft.com/office/drawing/2014/main" id="{4FC807DF-7461-4D8A-A063-972B086F1B63}"/>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71743"/>
    <xdr:sp macro="" textlink="">
      <xdr:nvSpPr>
        <xdr:cNvPr id="523" name="AutoShape 258" descr="+">
          <a:extLst>
            <a:ext uri="{FF2B5EF4-FFF2-40B4-BE49-F238E27FC236}">
              <a16:creationId xmlns:a16="http://schemas.microsoft.com/office/drawing/2014/main" id="{384B8943-5D41-4650-9EF0-2824B59AACD2}"/>
            </a:ext>
          </a:extLst>
        </xdr:cNvPr>
        <xdr:cNvSpPr>
          <a:spLocks noChangeAspect="1" noChangeArrowheads="1"/>
        </xdr:cNvSpPr>
      </xdr:nvSpPr>
      <xdr:spPr bwMode="auto">
        <a:xfrm>
          <a:off x="1885950" y="2695575"/>
          <a:ext cx="304800" cy="27174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7"/>
    <xdr:sp macro="" textlink="">
      <xdr:nvSpPr>
        <xdr:cNvPr id="524" name="AutoShape 259" descr="+">
          <a:extLst>
            <a:ext uri="{FF2B5EF4-FFF2-40B4-BE49-F238E27FC236}">
              <a16:creationId xmlns:a16="http://schemas.microsoft.com/office/drawing/2014/main" id="{56E44D7D-5C1F-4E0D-8BD9-959E379D9B58}"/>
            </a:ext>
          </a:extLst>
        </xdr:cNvPr>
        <xdr:cNvSpPr>
          <a:spLocks noChangeAspect="1" noChangeArrowheads="1"/>
        </xdr:cNvSpPr>
      </xdr:nvSpPr>
      <xdr:spPr bwMode="auto">
        <a:xfrm>
          <a:off x="1885950" y="269557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1"/>
    <xdr:sp macro="" textlink="">
      <xdr:nvSpPr>
        <xdr:cNvPr id="525" name="AutoShape 260" descr="+">
          <a:extLst>
            <a:ext uri="{FF2B5EF4-FFF2-40B4-BE49-F238E27FC236}">
              <a16:creationId xmlns:a16="http://schemas.microsoft.com/office/drawing/2014/main" id="{209FAD95-1EE8-41AC-99D7-57761313A4DA}"/>
            </a:ext>
          </a:extLst>
        </xdr:cNvPr>
        <xdr:cNvSpPr>
          <a:spLocks noChangeAspect="1" noChangeArrowheads="1"/>
        </xdr:cNvSpPr>
      </xdr:nvSpPr>
      <xdr:spPr bwMode="auto">
        <a:xfrm>
          <a:off x="1885950" y="269557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26" name="AutoShape 261" descr="+">
          <a:extLst>
            <a:ext uri="{FF2B5EF4-FFF2-40B4-BE49-F238E27FC236}">
              <a16:creationId xmlns:a16="http://schemas.microsoft.com/office/drawing/2014/main" id="{9441583E-9064-4818-8691-40367021610F}"/>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27" name="AutoShape 262" descr="+">
          <a:extLst>
            <a:ext uri="{FF2B5EF4-FFF2-40B4-BE49-F238E27FC236}">
              <a16:creationId xmlns:a16="http://schemas.microsoft.com/office/drawing/2014/main" id="{9EB0FE65-55D8-44D4-B9FD-889478079C4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5329"/>
    <xdr:sp macro="" textlink="">
      <xdr:nvSpPr>
        <xdr:cNvPr id="528" name="AutoShape 263" descr="+">
          <a:extLst>
            <a:ext uri="{FF2B5EF4-FFF2-40B4-BE49-F238E27FC236}">
              <a16:creationId xmlns:a16="http://schemas.microsoft.com/office/drawing/2014/main" id="{70528893-11C1-4BAB-AC26-2CB1EA0448C2}"/>
            </a:ext>
          </a:extLst>
        </xdr:cNvPr>
        <xdr:cNvSpPr>
          <a:spLocks noChangeAspect="1" noChangeArrowheads="1"/>
        </xdr:cNvSpPr>
      </xdr:nvSpPr>
      <xdr:spPr bwMode="auto">
        <a:xfrm>
          <a:off x="1885950" y="2695575"/>
          <a:ext cx="304800" cy="1653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5328"/>
    <xdr:sp macro="" textlink="">
      <xdr:nvSpPr>
        <xdr:cNvPr id="529" name="AutoShape 264" descr="+">
          <a:extLst>
            <a:ext uri="{FF2B5EF4-FFF2-40B4-BE49-F238E27FC236}">
              <a16:creationId xmlns:a16="http://schemas.microsoft.com/office/drawing/2014/main" id="{B2485957-2450-4520-AE95-AEDBB8F0087B}"/>
            </a:ext>
          </a:extLst>
        </xdr:cNvPr>
        <xdr:cNvSpPr>
          <a:spLocks noChangeAspect="1" noChangeArrowheads="1"/>
        </xdr:cNvSpPr>
      </xdr:nvSpPr>
      <xdr:spPr bwMode="auto">
        <a:xfrm>
          <a:off x="1885950" y="2695575"/>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1"/>
    <xdr:sp macro="" textlink="">
      <xdr:nvSpPr>
        <xdr:cNvPr id="530" name="AutoShape 265" descr="+">
          <a:extLst>
            <a:ext uri="{FF2B5EF4-FFF2-40B4-BE49-F238E27FC236}">
              <a16:creationId xmlns:a16="http://schemas.microsoft.com/office/drawing/2014/main" id="{13BE3F9C-0FC1-4540-BC1E-BEB50800AAF9}"/>
            </a:ext>
          </a:extLst>
        </xdr:cNvPr>
        <xdr:cNvSpPr>
          <a:spLocks noChangeAspect="1" noChangeArrowheads="1"/>
        </xdr:cNvSpPr>
      </xdr:nvSpPr>
      <xdr:spPr bwMode="auto">
        <a:xfrm>
          <a:off x="1885950" y="2695575"/>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6"/>
    <xdr:sp macro="" textlink="">
      <xdr:nvSpPr>
        <xdr:cNvPr id="531" name="AutoShape 266" descr="+">
          <a:extLst>
            <a:ext uri="{FF2B5EF4-FFF2-40B4-BE49-F238E27FC236}">
              <a16:creationId xmlns:a16="http://schemas.microsoft.com/office/drawing/2014/main" id="{E4F9C1AE-E336-4A77-977B-E4F0823B93F6}"/>
            </a:ext>
          </a:extLst>
        </xdr:cNvPr>
        <xdr:cNvSpPr>
          <a:spLocks noChangeAspect="1" noChangeArrowheads="1"/>
        </xdr:cNvSpPr>
      </xdr:nvSpPr>
      <xdr:spPr bwMode="auto">
        <a:xfrm>
          <a:off x="1885950" y="2695575"/>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8"/>
    <xdr:sp macro="" textlink="">
      <xdr:nvSpPr>
        <xdr:cNvPr id="532" name="AutoShape 267" descr="+">
          <a:extLst>
            <a:ext uri="{FF2B5EF4-FFF2-40B4-BE49-F238E27FC236}">
              <a16:creationId xmlns:a16="http://schemas.microsoft.com/office/drawing/2014/main" id="{1890157E-E698-4DA7-80D3-128288320498}"/>
            </a:ext>
          </a:extLst>
        </xdr:cNvPr>
        <xdr:cNvSpPr>
          <a:spLocks noChangeAspect="1" noChangeArrowheads="1"/>
        </xdr:cNvSpPr>
      </xdr:nvSpPr>
      <xdr:spPr bwMode="auto">
        <a:xfrm>
          <a:off x="1885950" y="269557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1"/>
    <xdr:sp macro="" textlink="">
      <xdr:nvSpPr>
        <xdr:cNvPr id="533" name="AutoShape 268" descr="+">
          <a:extLst>
            <a:ext uri="{FF2B5EF4-FFF2-40B4-BE49-F238E27FC236}">
              <a16:creationId xmlns:a16="http://schemas.microsoft.com/office/drawing/2014/main" id="{D0DD9970-5653-462E-B70F-46E463A7DDE3}"/>
            </a:ext>
          </a:extLst>
        </xdr:cNvPr>
        <xdr:cNvSpPr>
          <a:spLocks noChangeAspect="1" noChangeArrowheads="1"/>
        </xdr:cNvSpPr>
      </xdr:nvSpPr>
      <xdr:spPr bwMode="auto">
        <a:xfrm>
          <a:off x="1885950" y="2695575"/>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9"/>
    <xdr:sp macro="" textlink="">
      <xdr:nvSpPr>
        <xdr:cNvPr id="534" name="AutoShape 269" descr="+">
          <a:extLst>
            <a:ext uri="{FF2B5EF4-FFF2-40B4-BE49-F238E27FC236}">
              <a16:creationId xmlns:a16="http://schemas.microsoft.com/office/drawing/2014/main" id="{4557E344-AECB-4BD1-A7AC-6D23741187F7}"/>
            </a:ext>
          </a:extLst>
        </xdr:cNvPr>
        <xdr:cNvSpPr>
          <a:spLocks noChangeAspect="1" noChangeArrowheads="1"/>
        </xdr:cNvSpPr>
      </xdr:nvSpPr>
      <xdr:spPr bwMode="auto">
        <a:xfrm>
          <a:off x="1885950" y="269557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9"/>
    <xdr:sp macro="" textlink="">
      <xdr:nvSpPr>
        <xdr:cNvPr id="535" name="AutoShape 270" descr="+">
          <a:extLst>
            <a:ext uri="{FF2B5EF4-FFF2-40B4-BE49-F238E27FC236}">
              <a16:creationId xmlns:a16="http://schemas.microsoft.com/office/drawing/2014/main" id="{83D2DE96-0382-4979-8589-9D353A7D6307}"/>
            </a:ext>
          </a:extLst>
        </xdr:cNvPr>
        <xdr:cNvSpPr>
          <a:spLocks noChangeAspect="1" noChangeArrowheads="1"/>
        </xdr:cNvSpPr>
      </xdr:nvSpPr>
      <xdr:spPr bwMode="auto">
        <a:xfrm>
          <a:off x="1885950" y="269557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8883"/>
    <xdr:sp macro="" textlink="">
      <xdr:nvSpPr>
        <xdr:cNvPr id="536" name="AutoShape 271" descr="+">
          <a:extLst>
            <a:ext uri="{FF2B5EF4-FFF2-40B4-BE49-F238E27FC236}">
              <a16:creationId xmlns:a16="http://schemas.microsoft.com/office/drawing/2014/main" id="{B458FDE3-37A5-4C8C-83A0-9509E244D381}"/>
            </a:ext>
          </a:extLst>
        </xdr:cNvPr>
        <xdr:cNvSpPr>
          <a:spLocks noChangeAspect="1" noChangeArrowheads="1"/>
        </xdr:cNvSpPr>
      </xdr:nvSpPr>
      <xdr:spPr bwMode="auto">
        <a:xfrm>
          <a:off x="1885950" y="2695575"/>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9"/>
    <xdr:sp macro="" textlink="">
      <xdr:nvSpPr>
        <xdr:cNvPr id="537" name="AutoShape 272" descr="+">
          <a:extLst>
            <a:ext uri="{FF2B5EF4-FFF2-40B4-BE49-F238E27FC236}">
              <a16:creationId xmlns:a16="http://schemas.microsoft.com/office/drawing/2014/main" id="{8F36A306-AF2A-4153-869E-51DB1CA20140}"/>
            </a:ext>
          </a:extLst>
        </xdr:cNvPr>
        <xdr:cNvSpPr>
          <a:spLocks noChangeAspect="1" noChangeArrowheads="1"/>
        </xdr:cNvSpPr>
      </xdr:nvSpPr>
      <xdr:spPr bwMode="auto">
        <a:xfrm>
          <a:off x="1885950" y="269557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38" name="AutoShape 273" descr="+">
          <a:extLst>
            <a:ext uri="{FF2B5EF4-FFF2-40B4-BE49-F238E27FC236}">
              <a16:creationId xmlns:a16="http://schemas.microsoft.com/office/drawing/2014/main" id="{9ACA11E3-74B0-4872-AECD-C06F31A00C1E}"/>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39" name="AutoShape 274" descr="+">
          <a:extLst>
            <a:ext uri="{FF2B5EF4-FFF2-40B4-BE49-F238E27FC236}">
              <a16:creationId xmlns:a16="http://schemas.microsoft.com/office/drawing/2014/main" id="{5D5A734C-F2AC-4CDB-8550-9955D35E52AA}"/>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5297"/>
    <xdr:sp macro="" textlink="">
      <xdr:nvSpPr>
        <xdr:cNvPr id="540" name="AutoShape 275" descr="+">
          <a:extLst>
            <a:ext uri="{FF2B5EF4-FFF2-40B4-BE49-F238E27FC236}">
              <a16:creationId xmlns:a16="http://schemas.microsoft.com/office/drawing/2014/main" id="{522E0FDF-A8AE-4A87-83AF-9DBCA2FF80C6}"/>
            </a:ext>
          </a:extLst>
        </xdr:cNvPr>
        <xdr:cNvSpPr>
          <a:spLocks noChangeAspect="1" noChangeArrowheads="1"/>
        </xdr:cNvSpPr>
      </xdr:nvSpPr>
      <xdr:spPr bwMode="auto">
        <a:xfrm>
          <a:off x="1885950" y="2695575"/>
          <a:ext cx="304800" cy="1852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41" name="AutoShape 276" descr="+">
          <a:extLst>
            <a:ext uri="{FF2B5EF4-FFF2-40B4-BE49-F238E27FC236}">
              <a16:creationId xmlns:a16="http://schemas.microsoft.com/office/drawing/2014/main" id="{616200AB-B8E2-41E8-AA7A-0B48DA435062}"/>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42" name="AutoShape 277" descr="+">
          <a:extLst>
            <a:ext uri="{FF2B5EF4-FFF2-40B4-BE49-F238E27FC236}">
              <a16:creationId xmlns:a16="http://schemas.microsoft.com/office/drawing/2014/main" id="{6FC65C9C-BAA0-4AB9-97BF-FFF42CAEA26F}"/>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43" name="AutoShape 278" descr="+">
          <a:extLst>
            <a:ext uri="{FF2B5EF4-FFF2-40B4-BE49-F238E27FC236}">
              <a16:creationId xmlns:a16="http://schemas.microsoft.com/office/drawing/2014/main" id="{2FA426B3-EF19-4381-923E-B3E1CE0A544D}"/>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1"/>
    <xdr:sp macro="" textlink="">
      <xdr:nvSpPr>
        <xdr:cNvPr id="544" name="AutoShape 279" descr="+">
          <a:extLst>
            <a:ext uri="{FF2B5EF4-FFF2-40B4-BE49-F238E27FC236}">
              <a16:creationId xmlns:a16="http://schemas.microsoft.com/office/drawing/2014/main" id="{1CF16296-7C8C-492B-8A5F-8E41F48B0445}"/>
            </a:ext>
          </a:extLst>
        </xdr:cNvPr>
        <xdr:cNvSpPr>
          <a:spLocks noChangeAspect="1" noChangeArrowheads="1"/>
        </xdr:cNvSpPr>
      </xdr:nvSpPr>
      <xdr:spPr bwMode="auto">
        <a:xfrm>
          <a:off x="1885950" y="2695575"/>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545" name="AutoShape 280" descr="+">
          <a:extLst>
            <a:ext uri="{FF2B5EF4-FFF2-40B4-BE49-F238E27FC236}">
              <a16:creationId xmlns:a16="http://schemas.microsoft.com/office/drawing/2014/main" id="{7A0C7C12-A689-46CC-BB41-6B70786901FD}"/>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46" name="AutoShape 281" descr="+">
          <a:extLst>
            <a:ext uri="{FF2B5EF4-FFF2-40B4-BE49-F238E27FC236}">
              <a16:creationId xmlns:a16="http://schemas.microsoft.com/office/drawing/2014/main" id="{3129C24E-F3D5-4DC6-9032-B3DA95BB4CBB}"/>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8"/>
    <xdr:sp macro="" textlink="">
      <xdr:nvSpPr>
        <xdr:cNvPr id="547" name="AutoShape 282" descr="+">
          <a:extLst>
            <a:ext uri="{FF2B5EF4-FFF2-40B4-BE49-F238E27FC236}">
              <a16:creationId xmlns:a16="http://schemas.microsoft.com/office/drawing/2014/main" id="{FD35DF12-9D8B-427F-A168-31A7D3229922}"/>
            </a:ext>
          </a:extLst>
        </xdr:cNvPr>
        <xdr:cNvSpPr>
          <a:spLocks noChangeAspect="1" noChangeArrowheads="1"/>
        </xdr:cNvSpPr>
      </xdr:nvSpPr>
      <xdr:spPr bwMode="auto">
        <a:xfrm>
          <a:off x="1885950" y="269557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48" name="AutoShape 283" descr="+">
          <a:extLst>
            <a:ext uri="{FF2B5EF4-FFF2-40B4-BE49-F238E27FC236}">
              <a16:creationId xmlns:a16="http://schemas.microsoft.com/office/drawing/2014/main" id="{77FF9329-DF43-41E8-898F-9977F7339555}"/>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49" name="AutoShape 284" descr="+">
          <a:extLst>
            <a:ext uri="{FF2B5EF4-FFF2-40B4-BE49-F238E27FC236}">
              <a16:creationId xmlns:a16="http://schemas.microsoft.com/office/drawing/2014/main" id="{B07CDAA3-4ECA-4A3D-846E-89783AB2DE33}"/>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6"/>
    <xdr:sp macro="" textlink="">
      <xdr:nvSpPr>
        <xdr:cNvPr id="550" name="AutoShape 285" descr="+">
          <a:extLst>
            <a:ext uri="{FF2B5EF4-FFF2-40B4-BE49-F238E27FC236}">
              <a16:creationId xmlns:a16="http://schemas.microsoft.com/office/drawing/2014/main" id="{3ECF533C-EEE5-4D49-AFFA-40FBB496EFB2}"/>
            </a:ext>
          </a:extLst>
        </xdr:cNvPr>
        <xdr:cNvSpPr>
          <a:spLocks noChangeAspect="1" noChangeArrowheads="1"/>
        </xdr:cNvSpPr>
      </xdr:nvSpPr>
      <xdr:spPr bwMode="auto">
        <a:xfrm>
          <a:off x="1885950" y="269557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4"/>
    <xdr:sp macro="" textlink="">
      <xdr:nvSpPr>
        <xdr:cNvPr id="551" name="AutoShape 286" descr="+">
          <a:extLst>
            <a:ext uri="{FF2B5EF4-FFF2-40B4-BE49-F238E27FC236}">
              <a16:creationId xmlns:a16="http://schemas.microsoft.com/office/drawing/2014/main" id="{0A22C095-4CD0-46A2-ABF5-742B735B61AB}"/>
            </a:ext>
          </a:extLst>
        </xdr:cNvPr>
        <xdr:cNvSpPr>
          <a:spLocks noChangeAspect="1" noChangeArrowheads="1"/>
        </xdr:cNvSpPr>
      </xdr:nvSpPr>
      <xdr:spPr bwMode="auto">
        <a:xfrm>
          <a:off x="1885950" y="2695575"/>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7"/>
    <xdr:sp macro="" textlink="">
      <xdr:nvSpPr>
        <xdr:cNvPr id="552" name="AutoShape 287" descr="+">
          <a:extLst>
            <a:ext uri="{FF2B5EF4-FFF2-40B4-BE49-F238E27FC236}">
              <a16:creationId xmlns:a16="http://schemas.microsoft.com/office/drawing/2014/main" id="{90151353-E9AC-468E-A2D6-705E32F9083D}"/>
            </a:ext>
          </a:extLst>
        </xdr:cNvPr>
        <xdr:cNvSpPr>
          <a:spLocks noChangeAspect="1" noChangeArrowheads="1"/>
        </xdr:cNvSpPr>
      </xdr:nvSpPr>
      <xdr:spPr bwMode="auto">
        <a:xfrm>
          <a:off x="1885950" y="2695575"/>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7"/>
    <xdr:sp macro="" textlink="">
      <xdr:nvSpPr>
        <xdr:cNvPr id="553" name="AutoShape 288" descr="+">
          <a:extLst>
            <a:ext uri="{FF2B5EF4-FFF2-40B4-BE49-F238E27FC236}">
              <a16:creationId xmlns:a16="http://schemas.microsoft.com/office/drawing/2014/main" id="{AA7F2972-62FA-445F-9465-16B865AEDD3E}"/>
            </a:ext>
          </a:extLst>
        </xdr:cNvPr>
        <xdr:cNvSpPr>
          <a:spLocks noChangeAspect="1" noChangeArrowheads="1"/>
        </xdr:cNvSpPr>
      </xdr:nvSpPr>
      <xdr:spPr bwMode="auto">
        <a:xfrm>
          <a:off x="1885950" y="269557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554" name="AutoShape 289" descr="+">
          <a:extLst>
            <a:ext uri="{FF2B5EF4-FFF2-40B4-BE49-F238E27FC236}">
              <a16:creationId xmlns:a16="http://schemas.microsoft.com/office/drawing/2014/main" id="{A80328FF-E33E-4FB8-9371-574C34988C1C}"/>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55" name="AutoShape 290" descr="+">
          <a:extLst>
            <a:ext uri="{FF2B5EF4-FFF2-40B4-BE49-F238E27FC236}">
              <a16:creationId xmlns:a16="http://schemas.microsoft.com/office/drawing/2014/main" id="{226E8744-BE2B-4AC3-B04A-F0717141827F}"/>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56" name="AutoShape 291" descr="+">
          <a:extLst>
            <a:ext uri="{FF2B5EF4-FFF2-40B4-BE49-F238E27FC236}">
              <a16:creationId xmlns:a16="http://schemas.microsoft.com/office/drawing/2014/main" id="{9731CA08-EF56-439A-BA95-1388ED338E8A}"/>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57" name="AutoShape 292" descr="+">
          <a:extLst>
            <a:ext uri="{FF2B5EF4-FFF2-40B4-BE49-F238E27FC236}">
              <a16:creationId xmlns:a16="http://schemas.microsoft.com/office/drawing/2014/main" id="{58B53219-909D-41D4-916D-18BFD8F82DB7}"/>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58" name="AutoShape 293" descr="+">
          <a:extLst>
            <a:ext uri="{FF2B5EF4-FFF2-40B4-BE49-F238E27FC236}">
              <a16:creationId xmlns:a16="http://schemas.microsoft.com/office/drawing/2014/main" id="{87624E4E-578E-4728-A761-EE17EB13984A}"/>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59" name="AutoShape 294" descr="+">
          <a:extLst>
            <a:ext uri="{FF2B5EF4-FFF2-40B4-BE49-F238E27FC236}">
              <a16:creationId xmlns:a16="http://schemas.microsoft.com/office/drawing/2014/main" id="{1BDF8C08-E1D4-4844-BCEC-6DA2F4EEAE35}"/>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5079"/>
    <xdr:sp macro="" textlink="">
      <xdr:nvSpPr>
        <xdr:cNvPr id="560" name="AutoShape 295" descr="+">
          <a:extLst>
            <a:ext uri="{FF2B5EF4-FFF2-40B4-BE49-F238E27FC236}">
              <a16:creationId xmlns:a16="http://schemas.microsoft.com/office/drawing/2014/main" id="{947D32ED-320C-4837-9FB9-03E1F9F8E619}"/>
            </a:ext>
          </a:extLst>
        </xdr:cNvPr>
        <xdr:cNvSpPr>
          <a:spLocks noChangeAspect="1" noChangeArrowheads="1"/>
        </xdr:cNvSpPr>
      </xdr:nvSpPr>
      <xdr:spPr bwMode="auto">
        <a:xfrm>
          <a:off x="1885950" y="2695575"/>
          <a:ext cx="304800" cy="30507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561" name="AutoShape 296" descr="+">
          <a:extLst>
            <a:ext uri="{FF2B5EF4-FFF2-40B4-BE49-F238E27FC236}">
              <a16:creationId xmlns:a16="http://schemas.microsoft.com/office/drawing/2014/main" id="{89ED7E94-562D-4779-B736-9AF2B4AA799B}"/>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63" name="AutoShape 298" descr="+">
          <a:extLst>
            <a:ext uri="{FF2B5EF4-FFF2-40B4-BE49-F238E27FC236}">
              <a16:creationId xmlns:a16="http://schemas.microsoft.com/office/drawing/2014/main" id="{53C8C576-FAE1-43CA-A071-4E3011F0AFEA}"/>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7"/>
    <xdr:sp macro="" textlink="">
      <xdr:nvSpPr>
        <xdr:cNvPr id="564" name="AutoShape 80" descr="+">
          <a:extLst>
            <a:ext uri="{FF2B5EF4-FFF2-40B4-BE49-F238E27FC236}">
              <a16:creationId xmlns:a16="http://schemas.microsoft.com/office/drawing/2014/main" id="{461F2D05-D234-4EAC-8EAF-D0925B375D1F}"/>
            </a:ext>
          </a:extLst>
        </xdr:cNvPr>
        <xdr:cNvSpPr>
          <a:spLocks noChangeAspect="1" noChangeArrowheads="1"/>
        </xdr:cNvSpPr>
      </xdr:nvSpPr>
      <xdr:spPr bwMode="auto">
        <a:xfrm>
          <a:off x="1885950" y="2695575"/>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161925</xdr:colOff>
      <xdr:row>20</xdr:row>
      <xdr:rowOff>47626</xdr:rowOff>
    </xdr:from>
    <xdr:to>
      <xdr:col>4</xdr:col>
      <xdr:colOff>118027</xdr:colOff>
      <xdr:row>20</xdr:row>
      <xdr:rowOff>4265543</xdr:rowOff>
    </xdr:to>
    <xdr:pic>
      <xdr:nvPicPr>
        <xdr:cNvPr id="566" name="Picture 565">
          <a:extLst>
            <a:ext uri="{FF2B5EF4-FFF2-40B4-BE49-F238E27FC236}">
              <a16:creationId xmlns:a16="http://schemas.microsoft.com/office/drawing/2014/main" id="{42918226-D719-4E44-BADC-2DD7C9BA56AF}"/>
            </a:ext>
          </a:extLst>
        </xdr:cNvPr>
        <xdr:cNvPicPr>
          <a:picLocks noChangeAspect="1"/>
        </xdr:cNvPicPr>
      </xdr:nvPicPr>
      <xdr:blipFill>
        <a:blip xmlns:r="http://schemas.openxmlformats.org/officeDocument/2006/relationships" r:embed="rId1"/>
        <a:stretch>
          <a:fillRect/>
        </a:stretch>
      </xdr:blipFill>
      <xdr:spPr>
        <a:xfrm>
          <a:off x="161925" y="6764822"/>
          <a:ext cx="6143211" cy="4217917"/>
        </a:xfrm>
        <a:prstGeom prst="rect">
          <a:avLst/>
        </a:prstGeom>
        <a:ln>
          <a:solidFill>
            <a:schemeClr val="tx1"/>
          </a:solidFill>
        </a:ln>
      </xdr:spPr>
    </xdr:pic>
    <xdr:clientData/>
  </xdr:twoCellAnchor>
  <xdr:oneCellAnchor>
    <xdr:from>
      <xdr:col>2</xdr:col>
      <xdr:colOff>0</xdr:colOff>
      <xdr:row>7</xdr:row>
      <xdr:rowOff>0</xdr:rowOff>
    </xdr:from>
    <xdr:ext cx="304800" cy="270548"/>
    <xdr:sp macro="" textlink="">
      <xdr:nvSpPr>
        <xdr:cNvPr id="568" name="AutoShape 12" descr="+">
          <a:extLst>
            <a:ext uri="{FF2B5EF4-FFF2-40B4-BE49-F238E27FC236}">
              <a16:creationId xmlns:a16="http://schemas.microsoft.com/office/drawing/2014/main" id="{56B14DAD-8C99-45EE-BDAB-1374819B5548}"/>
            </a:ext>
          </a:extLst>
        </xdr:cNvPr>
        <xdr:cNvSpPr>
          <a:spLocks noChangeAspect="1" noChangeArrowheads="1"/>
        </xdr:cNvSpPr>
      </xdr:nvSpPr>
      <xdr:spPr bwMode="auto">
        <a:xfrm>
          <a:off x="1885950" y="3352800"/>
          <a:ext cx="304800" cy="2705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1"/>
    <xdr:sp macro="" textlink="">
      <xdr:nvSpPr>
        <xdr:cNvPr id="569" name="AutoShape 59" descr="+">
          <a:extLst>
            <a:ext uri="{FF2B5EF4-FFF2-40B4-BE49-F238E27FC236}">
              <a16:creationId xmlns:a16="http://schemas.microsoft.com/office/drawing/2014/main" id="{80002117-B79D-4014-AAA0-DDF3597DCBC4}"/>
            </a:ext>
          </a:extLst>
        </xdr:cNvPr>
        <xdr:cNvSpPr>
          <a:spLocks noChangeAspect="1" noChangeArrowheads="1"/>
        </xdr:cNvSpPr>
      </xdr:nvSpPr>
      <xdr:spPr bwMode="auto">
        <a:xfrm>
          <a:off x="1885950" y="33528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7044"/>
    <xdr:sp macro="" textlink="">
      <xdr:nvSpPr>
        <xdr:cNvPr id="570" name="AutoShape 91" descr="+">
          <a:extLst>
            <a:ext uri="{FF2B5EF4-FFF2-40B4-BE49-F238E27FC236}">
              <a16:creationId xmlns:a16="http://schemas.microsoft.com/office/drawing/2014/main" id="{9796CACE-044A-4947-84B4-30306D58646D}"/>
            </a:ext>
          </a:extLst>
        </xdr:cNvPr>
        <xdr:cNvSpPr>
          <a:spLocks noChangeAspect="1" noChangeArrowheads="1"/>
        </xdr:cNvSpPr>
      </xdr:nvSpPr>
      <xdr:spPr bwMode="auto">
        <a:xfrm>
          <a:off x="1885950" y="3352800"/>
          <a:ext cx="304800" cy="3070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27330"/>
    <xdr:sp macro="" textlink="">
      <xdr:nvSpPr>
        <xdr:cNvPr id="571" name="AutoShape 143" descr="+">
          <a:extLst>
            <a:ext uri="{FF2B5EF4-FFF2-40B4-BE49-F238E27FC236}">
              <a16:creationId xmlns:a16="http://schemas.microsoft.com/office/drawing/2014/main" id="{7812BC99-9C2C-4EB6-9B8B-AF9BD03A638F}"/>
            </a:ext>
          </a:extLst>
        </xdr:cNvPr>
        <xdr:cNvSpPr>
          <a:spLocks noChangeAspect="1" noChangeArrowheads="1"/>
        </xdr:cNvSpPr>
      </xdr:nvSpPr>
      <xdr:spPr bwMode="auto">
        <a:xfrm>
          <a:off x="1885950" y="3352800"/>
          <a:ext cx="304800" cy="327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796"/>
    <xdr:sp macro="" textlink="">
      <xdr:nvSpPr>
        <xdr:cNvPr id="572" name="AutoShape 153" descr="+">
          <a:extLst>
            <a:ext uri="{FF2B5EF4-FFF2-40B4-BE49-F238E27FC236}">
              <a16:creationId xmlns:a16="http://schemas.microsoft.com/office/drawing/2014/main" id="{B856280A-5F33-4D5A-8822-8E80613A6977}"/>
            </a:ext>
          </a:extLst>
        </xdr:cNvPr>
        <xdr:cNvSpPr>
          <a:spLocks noChangeAspect="1" noChangeArrowheads="1"/>
        </xdr:cNvSpPr>
      </xdr:nvSpPr>
      <xdr:spPr bwMode="auto">
        <a:xfrm>
          <a:off x="1885950" y="3352800"/>
          <a:ext cx="304800" cy="3047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8885"/>
    <xdr:sp macro="" textlink="">
      <xdr:nvSpPr>
        <xdr:cNvPr id="573" name="AutoShape 168" descr="+">
          <a:extLst>
            <a:ext uri="{FF2B5EF4-FFF2-40B4-BE49-F238E27FC236}">
              <a16:creationId xmlns:a16="http://schemas.microsoft.com/office/drawing/2014/main" id="{138BFF9C-FB9C-4504-B5DD-F045D3F54F8B}"/>
            </a:ext>
          </a:extLst>
        </xdr:cNvPr>
        <xdr:cNvSpPr>
          <a:spLocks noChangeAspect="1" noChangeArrowheads="1"/>
        </xdr:cNvSpPr>
      </xdr:nvSpPr>
      <xdr:spPr bwMode="auto">
        <a:xfrm>
          <a:off x="1885950" y="3352800"/>
          <a:ext cx="304800" cy="3088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8883"/>
    <xdr:sp macro="" textlink="">
      <xdr:nvSpPr>
        <xdr:cNvPr id="574" name="AutoShape 171" descr="+">
          <a:extLst>
            <a:ext uri="{FF2B5EF4-FFF2-40B4-BE49-F238E27FC236}">
              <a16:creationId xmlns:a16="http://schemas.microsoft.com/office/drawing/2014/main" id="{7494419A-E425-42C8-90D3-E4F22DC21155}"/>
            </a:ext>
          </a:extLst>
        </xdr:cNvPr>
        <xdr:cNvSpPr>
          <a:spLocks noChangeAspect="1" noChangeArrowheads="1"/>
        </xdr:cNvSpPr>
      </xdr:nvSpPr>
      <xdr:spPr bwMode="auto">
        <a:xfrm>
          <a:off x="1885950" y="3352800"/>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9916"/>
    <xdr:sp macro="" textlink="">
      <xdr:nvSpPr>
        <xdr:cNvPr id="575" name="AutoShape 182" descr="+">
          <a:extLst>
            <a:ext uri="{FF2B5EF4-FFF2-40B4-BE49-F238E27FC236}">
              <a16:creationId xmlns:a16="http://schemas.microsoft.com/office/drawing/2014/main" id="{0221E128-670A-4E4A-A1C4-278A33924685}"/>
            </a:ext>
          </a:extLst>
        </xdr:cNvPr>
        <xdr:cNvSpPr>
          <a:spLocks noChangeAspect="1" noChangeArrowheads="1"/>
        </xdr:cNvSpPr>
      </xdr:nvSpPr>
      <xdr:spPr bwMode="auto">
        <a:xfrm>
          <a:off x="1885950" y="3352800"/>
          <a:ext cx="304800" cy="3099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0"/>
    <xdr:sp macro="" textlink="">
      <xdr:nvSpPr>
        <xdr:cNvPr id="576" name="AutoShape 197" descr="+">
          <a:extLst>
            <a:ext uri="{FF2B5EF4-FFF2-40B4-BE49-F238E27FC236}">
              <a16:creationId xmlns:a16="http://schemas.microsoft.com/office/drawing/2014/main" id="{BA9D1629-D8F9-4F62-8C42-E3D0C4EA9D55}"/>
            </a:ext>
          </a:extLst>
        </xdr:cNvPr>
        <xdr:cNvSpPr>
          <a:spLocks noChangeAspect="1" noChangeArrowheads="1"/>
        </xdr:cNvSpPr>
      </xdr:nvSpPr>
      <xdr:spPr bwMode="auto">
        <a:xfrm>
          <a:off x="1885950" y="335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0"/>
    <xdr:sp macro="" textlink="">
      <xdr:nvSpPr>
        <xdr:cNvPr id="577" name="AutoShape 211" descr="+">
          <a:extLst>
            <a:ext uri="{FF2B5EF4-FFF2-40B4-BE49-F238E27FC236}">
              <a16:creationId xmlns:a16="http://schemas.microsoft.com/office/drawing/2014/main" id="{1CB14A46-E948-4BFC-8FC6-6673551A51CA}"/>
            </a:ext>
          </a:extLst>
        </xdr:cNvPr>
        <xdr:cNvSpPr>
          <a:spLocks noChangeAspect="1" noChangeArrowheads="1"/>
        </xdr:cNvSpPr>
      </xdr:nvSpPr>
      <xdr:spPr bwMode="auto">
        <a:xfrm>
          <a:off x="1885950" y="335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276830"/>
    <xdr:sp macro="" textlink="">
      <xdr:nvSpPr>
        <xdr:cNvPr id="578" name="AutoShape 212" descr="+">
          <a:extLst>
            <a:ext uri="{FF2B5EF4-FFF2-40B4-BE49-F238E27FC236}">
              <a16:creationId xmlns:a16="http://schemas.microsoft.com/office/drawing/2014/main" id="{EB0B0D20-1683-416E-A65A-F726F12C2174}"/>
            </a:ext>
          </a:extLst>
        </xdr:cNvPr>
        <xdr:cNvSpPr>
          <a:spLocks noChangeAspect="1" noChangeArrowheads="1"/>
        </xdr:cNvSpPr>
      </xdr:nvSpPr>
      <xdr:spPr bwMode="auto">
        <a:xfrm>
          <a:off x="1885950" y="3352800"/>
          <a:ext cx="304800" cy="2768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2"/>
    <xdr:sp macro="" textlink="">
      <xdr:nvSpPr>
        <xdr:cNvPr id="579" name="AutoShape 226" descr="+">
          <a:extLst>
            <a:ext uri="{FF2B5EF4-FFF2-40B4-BE49-F238E27FC236}">
              <a16:creationId xmlns:a16="http://schemas.microsoft.com/office/drawing/2014/main" id="{D9B69A56-4D8E-4610-9D2B-2E95A2D85308}"/>
            </a:ext>
          </a:extLst>
        </xdr:cNvPr>
        <xdr:cNvSpPr>
          <a:spLocks noChangeAspect="1" noChangeArrowheads="1"/>
        </xdr:cNvSpPr>
      </xdr:nvSpPr>
      <xdr:spPr bwMode="auto">
        <a:xfrm>
          <a:off x="1885950" y="335280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6479"/>
    <xdr:sp macro="" textlink="">
      <xdr:nvSpPr>
        <xdr:cNvPr id="580" name="AutoShape 229" descr="+">
          <a:extLst>
            <a:ext uri="{FF2B5EF4-FFF2-40B4-BE49-F238E27FC236}">
              <a16:creationId xmlns:a16="http://schemas.microsoft.com/office/drawing/2014/main" id="{06A0DF07-EF9B-44ED-A79C-A70C88343BF5}"/>
            </a:ext>
          </a:extLst>
        </xdr:cNvPr>
        <xdr:cNvSpPr>
          <a:spLocks noChangeAspect="1" noChangeArrowheads="1"/>
        </xdr:cNvSpPr>
      </xdr:nvSpPr>
      <xdr:spPr bwMode="auto">
        <a:xfrm>
          <a:off x="1885950" y="3352800"/>
          <a:ext cx="304800" cy="30647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1"/>
    <xdr:sp macro="" textlink="">
      <xdr:nvSpPr>
        <xdr:cNvPr id="581" name="AutoShape 230" descr="+">
          <a:extLst>
            <a:ext uri="{FF2B5EF4-FFF2-40B4-BE49-F238E27FC236}">
              <a16:creationId xmlns:a16="http://schemas.microsoft.com/office/drawing/2014/main" id="{ECA3C8B3-71BE-4815-861F-24E99BCD4491}"/>
            </a:ext>
          </a:extLst>
        </xdr:cNvPr>
        <xdr:cNvSpPr>
          <a:spLocks noChangeAspect="1" noChangeArrowheads="1"/>
        </xdr:cNvSpPr>
      </xdr:nvSpPr>
      <xdr:spPr bwMode="auto">
        <a:xfrm>
          <a:off x="1885950" y="33528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271743"/>
    <xdr:sp macro="" textlink="">
      <xdr:nvSpPr>
        <xdr:cNvPr id="582" name="AutoShape 258" descr="+">
          <a:extLst>
            <a:ext uri="{FF2B5EF4-FFF2-40B4-BE49-F238E27FC236}">
              <a16:creationId xmlns:a16="http://schemas.microsoft.com/office/drawing/2014/main" id="{DCC40CE4-7ABF-4D44-BEB9-F6BD9BEED97D}"/>
            </a:ext>
          </a:extLst>
        </xdr:cNvPr>
        <xdr:cNvSpPr>
          <a:spLocks noChangeAspect="1" noChangeArrowheads="1"/>
        </xdr:cNvSpPr>
      </xdr:nvSpPr>
      <xdr:spPr bwMode="auto">
        <a:xfrm>
          <a:off x="1885950" y="3352800"/>
          <a:ext cx="304800" cy="27174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1"/>
    <xdr:sp macro="" textlink="">
      <xdr:nvSpPr>
        <xdr:cNvPr id="583" name="AutoShape 260" descr="+">
          <a:extLst>
            <a:ext uri="{FF2B5EF4-FFF2-40B4-BE49-F238E27FC236}">
              <a16:creationId xmlns:a16="http://schemas.microsoft.com/office/drawing/2014/main" id="{165D5D23-1439-47C8-8333-9A4B41FFC7FF}"/>
            </a:ext>
          </a:extLst>
        </xdr:cNvPr>
        <xdr:cNvSpPr>
          <a:spLocks noChangeAspect="1" noChangeArrowheads="1"/>
        </xdr:cNvSpPr>
      </xdr:nvSpPr>
      <xdr:spPr bwMode="auto">
        <a:xfrm>
          <a:off x="1885950" y="33528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8883"/>
    <xdr:sp macro="" textlink="">
      <xdr:nvSpPr>
        <xdr:cNvPr id="584" name="AutoShape 271" descr="+">
          <a:extLst>
            <a:ext uri="{FF2B5EF4-FFF2-40B4-BE49-F238E27FC236}">
              <a16:creationId xmlns:a16="http://schemas.microsoft.com/office/drawing/2014/main" id="{A869492D-2CB1-47E1-95A4-75EC647CD026}"/>
            </a:ext>
          </a:extLst>
        </xdr:cNvPr>
        <xdr:cNvSpPr>
          <a:spLocks noChangeAspect="1" noChangeArrowheads="1"/>
        </xdr:cNvSpPr>
      </xdr:nvSpPr>
      <xdr:spPr bwMode="auto">
        <a:xfrm>
          <a:off x="1885950" y="3352800"/>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5079"/>
    <xdr:sp macro="" textlink="">
      <xdr:nvSpPr>
        <xdr:cNvPr id="585" name="AutoShape 295" descr="+">
          <a:extLst>
            <a:ext uri="{FF2B5EF4-FFF2-40B4-BE49-F238E27FC236}">
              <a16:creationId xmlns:a16="http://schemas.microsoft.com/office/drawing/2014/main" id="{39CCBBFD-CBE5-45FB-A768-D20D284A0B83}"/>
            </a:ext>
          </a:extLst>
        </xdr:cNvPr>
        <xdr:cNvSpPr>
          <a:spLocks noChangeAspect="1" noChangeArrowheads="1"/>
        </xdr:cNvSpPr>
      </xdr:nvSpPr>
      <xdr:spPr bwMode="auto">
        <a:xfrm>
          <a:off x="1885950" y="3352800"/>
          <a:ext cx="304800" cy="30507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6478"/>
    <xdr:sp macro="" textlink="">
      <xdr:nvSpPr>
        <xdr:cNvPr id="586" name="AutoShape 297" descr="+">
          <a:extLst>
            <a:ext uri="{FF2B5EF4-FFF2-40B4-BE49-F238E27FC236}">
              <a16:creationId xmlns:a16="http://schemas.microsoft.com/office/drawing/2014/main" id="{D51A8E78-81E5-47C3-9046-3F33626CDC60}"/>
            </a:ext>
          </a:extLst>
        </xdr:cNvPr>
        <xdr:cNvSpPr>
          <a:spLocks noChangeAspect="1" noChangeArrowheads="1"/>
        </xdr:cNvSpPr>
      </xdr:nvSpPr>
      <xdr:spPr bwMode="auto">
        <a:xfrm>
          <a:off x="1885950" y="3352800"/>
          <a:ext cx="304800" cy="30647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199847</xdr:colOff>
      <xdr:row>19</xdr:row>
      <xdr:rowOff>159204</xdr:rowOff>
    </xdr:from>
    <xdr:to>
      <xdr:col>10</xdr:col>
      <xdr:colOff>370471</xdr:colOff>
      <xdr:row>20</xdr:row>
      <xdr:rowOff>2245415</xdr:rowOff>
    </xdr:to>
    <xdr:pic>
      <xdr:nvPicPr>
        <xdr:cNvPr id="587" name="Picture 586">
          <a:extLst>
            <a:ext uri="{FF2B5EF4-FFF2-40B4-BE49-F238E27FC236}">
              <a16:creationId xmlns:a16="http://schemas.microsoft.com/office/drawing/2014/main" id="{01658AA8-50E8-4D05-957D-80DA772FA611}"/>
            </a:ext>
          </a:extLst>
        </xdr:cNvPr>
        <xdr:cNvPicPr>
          <a:picLocks noChangeAspect="1"/>
        </xdr:cNvPicPr>
      </xdr:nvPicPr>
      <xdr:blipFill>
        <a:blip xmlns:r="http://schemas.openxmlformats.org/officeDocument/2006/relationships" r:embed="rId2"/>
        <a:stretch>
          <a:fillRect/>
        </a:stretch>
      </xdr:blipFill>
      <xdr:spPr>
        <a:xfrm>
          <a:off x="6381572" y="5921829"/>
          <a:ext cx="6895274" cy="2248136"/>
        </a:xfrm>
        <a:prstGeom prst="rect">
          <a:avLst/>
        </a:prstGeom>
        <a:ln>
          <a:solidFill>
            <a:schemeClr val="tx1"/>
          </a:solidFill>
        </a:ln>
      </xdr:spPr>
    </xdr:pic>
    <xdr:clientData/>
  </xdr:twoCellAnchor>
  <xdr:oneCellAnchor>
    <xdr:from>
      <xdr:col>2</xdr:col>
      <xdr:colOff>0</xdr:colOff>
      <xdr:row>8</xdr:row>
      <xdr:rowOff>0</xdr:rowOff>
    </xdr:from>
    <xdr:ext cx="304800" cy="171731"/>
    <xdr:sp macro="" textlink="">
      <xdr:nvSpPr>
        <xdr:cNvPr id="588" name="AutoShape 4" descr="+">
          <a:extLst>
            <a:ext uri="{FF2B5EF4-FFF2-40B4-BE49-F238E27FC236}">
              <a16:creationId xmlns:a16="http://schemas.microsoft.com/office/drawing/2014/main" id="{60093FAF-2674-469F-A0CF-56474F258739}"/>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589" name="AutoShape 5" descr="+">
          <a:extLst>
            <a:ext uri="{FF2B5EF4-FFF2-40B4-BE49-F238E27FC236}">
              <a16:creationId xmlns:a16="http://schemas.microsoft.com/office/drawing/2014/main" id="{BD694EF4-EEA5-47EA-867D-FB62C37FCEFC}"/>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7"/>
    <xdr:sp macro="" textlink="">
      <xdr:nvSpPr>
        <xdr:cNvPr id="590" name="AutoShape 6" descr="+">
          <a:extLst>
            <a:ext uri="{FF2B5EF4-FFF2-40B4-BE49-F238E27FC236}">
              <a16:creationId xmlns:a16="http://schemas.microsoft.com/office/drawing/2014/main" id="{66FCA929-032B-49C3-8D5D-F85EFF38F247}"/>
            </a:ext>
          </a:extLst>
        </xdr:cNvPr>
        <xdr:cNvSpPr>
          <a:spLocks noChangeAspect="1" noChangeArrowheads="1"/>
        </xdr:cNvSpPr>
      </xdr:nvSpPr>
      <xdr:spPr bwMode="auto">
        <a:xfrm>
          <a:off x="1888435" y="4447761"/>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4665"/>
    <xdr:sp macro="" textlink="">
      <xdr:nvSpPr>
        <xdr:cNvPr id="591" name="AutoShape 7" descr="+">
          <a:extLst>
            <a:ext uri="{FF2B5EF4-FFF2-40B4-BE49-F238E27FC236}">
              <a16:creationId xmlns:a16="http://schemas.microsoft.com/office/drawing/2014/main" id="{0C6D7385-B3CF-459A-895E-42F0A4E262F8}"/>
            </a:ext>
          </a:extLst>
        </xdr:cNvPr>
        <xdr:cNvSpPr>
          <a:spLocks noChangeAspect="1" noChangeArrowheads="1"/>
        </xdr:cNvSpPr>
      </xdr:nvSpPr>
      <xdr:spPr bwMode="auto">
        <a:xfrm>
          <a:off x="1888435" y="4447761"/>
          <a:ext cx="304800" cy="1746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8"/>
    <xdr:sp macro="" textlink="">
      <xdr:nvSpPr>
        <xdr:cNvPr id="592" name="AutoShape 8" descr="+">
          <a:extLst>
            <a:ext uri="{FF2B5EF4-FFF2-40B4-BE49-F238E27FC236}">
              <a16:creationId xmlns:a16="http://schemas.microsoft.com/office/drawing/2014/main" id="{BF3AD1D6-AC9D-40B3-AC77-B2564AC63F6E}"/>
            </a:ext>
          </a:extLst>
        </xdr:cNvPr>
        <xdr:cNvSpPr>
          <a:spLocks noChangeAspect="1" noChangeArrowheads="1"/>
        </xdr:cNvSpPr>
      </xdr:nvSpPr>
      <xdr:spPr bwMode="auto">
        <a:xfrm>
          <a:off x="1888435" y="4447761"/>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5"/>
    <xdr:sp macro="" textlink="">
      <xdr:nvSpPr>
        <xdr:cNvPr id="593" name="AutoShape 9" descr="+">
          <a:extLst>
            <a:ext uri="{FF2B5EF4-FFF2-40B4-BE49-F238E27FC236}">
              <a16:creationId xmlns:a16="http://schemas.microsoft.com/office/drawing/2014/main" id="{0FEC47C1-04E9-4139-A68F-5BEC419AFCAF}"/>
            </a:ext>
          </a:extLst>
        </xdr:cNvPr>
        <xdr:cNvSpPr>
          <a:spLocks noChangeAspect="1" noChangeArrowheads="1"/>
        </xdr:cNvSpPr>
      </xdr:nvSpPr>
      <xdr:spPr bwMode="auto">
        <a:xfrm>
          <a:off x="1888435" y="4447761"/>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8"/>
    <xdr:sp macro="" textlink="">
      <xdr:nvSpPr>
        <xdr:cNvPr id="594" name="AutoShape 10" descr="+">
          <a:extLst>
            <a:ext uri="{FF2B5EF4-FFF2-40B4-BE49-F238E27FC236}">
              <a16:creationId xmlns:a16="http://schemas.microsoft.com/office/drawing/2014/main" id="{530D7E96-0284-4D74-B5D1-A2EC35F6A914}"/>
            </a:ext>
          </a:extLst>
        </xdr:cNvPr>
        <xdr:cNvSpPr>
          <a:spLocks noChangeAspect="1" noChangeArrowheads="1"/>
        </xdr:cNvSpPr>
      </xdr:nvSpPr>
      <xdr:spPr bwMode="auto">
        <a:xfrm>
          <a:off x="1888435" y="4447761"/>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2180"/>
    <xdr:sp macro="" textlink="">
      <xdr:nvSpPr>
        <xdr:cNvPr id="595" name="AutoShape 11" descr="+">
          <a:extLst>
            <a:ext uri="{FF2B5EF4-FFF2-40B4-BE49-F238E27FC236}">
              <a16:creationId xmlns:a16="http://schemas.microsoft.com/office/drawing/2014/main" id="{A5462971-242B-492E-B4CA-365F840F4727}"/>
            </a:ext>
          </a:extLst>
        </xdr:cNvPr>
        <xdr:cNvSpPr>
          <a:spLocks noChangeAspect="1" noChangeArrowheads="1"/>
        </xdr:cNvSpPr>
      </xdr:nvSpPr>
      <xdr:spPr bwMode="auto">
        <a:xfrm>
          <a:off x="1888435" y="4447761"/>
          <a:ext cx="304800" cy="192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70133"/>
    <xdr:sp macro="" textlink="">
      <xdr:nvSpPr>
        <xdr:cNvPr id="596" name="AutoShape 12" descr="+">
          <a:extLst>
            <a:ext uri="{FF2B5EF4-FFF2-40B4-BE49-F238E27FC236}">
              <a16:creationId xmlns:a16="http://schemas.microsoft.com/office/drawing/2014/main" id="{22C40F96-5D05-4295-B007-5BA6980C03C8}"/>
            </a:ext>
          </a:extLst>
        </xdr:cNvPr>
        <xdr:cNvSpPr>
          <a:spLocks noChangeAspect="1" noChangeArrowheads="1"/>
        </xdr:cNvSpPr>
      </xdr:nvSpPr>
      <xdr:spPr bwMode="auto">
        <a:xfrm>
          <a:off x="1888435" y="4447761"/>
          <a:ext cx="304800" cy="270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3131"/>
    <xdr:sp macro="" textlink="">
      <xdr:nvSpPr>
        <xdr:cNvPr id="597" name="AutoShape 13" descr="+">
          <a:extLst>
            <a:ext uri="{FF2B5EF4-FFF2-40B4-BE49-F238E27FC236}">
              <a16:creationId xmlns:a16="http://schemas.microsoft.com/office/drawing/2014/main" id="{88443AF7-A8A2-4C1C-8900-451A2F683194}"/>
            </a:ext>
          </a:extLst>
        </xdr:cNvPr>
        <xdr:cNvSpPr>
          <a:spLocks noChangeAspect="1" noChangeArrowheads="1"/>
        </xdr:cNvSpPr>
      </xdr:nvSpPr>
      <xdr:spPr bwMode="auto">
        <a:xfrm>
          <a:off x="1888435" y="4447761"/>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8"/>
    <xdr:sp macro="" textlink="">
      <xdr:nvSpPr>
        <xdr:cNvPr id="598" name="AutoShape 14" descr="+">
          <a:extLst>
            <a:ext uri="{FF2B5EF4-FFF2-40B4-BE49-F238E27FC236}">
              <a16:creationId xmlns:a16="http://schemas.microsoft.com/office/drawing/2014/main" id="{4C95C644-2A49-4738-90E1-07C3201B86AA}"/>
            </a:ext>
          </a:extLst>
        </xdr:cNvPr>
        <xdr:cNvSpPr>
          <a:spLocks noChangeAspect="1" noChangeArrowheads="1"/>
        </xdr:cNvSpPr>
      </xdr:nvSpPr>
      <xdr:spPr bwMode="auto">
        <a:xfrm>
          <a:off x="1888435" y="4447761"/>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5"/>
    <xdr:sp macro="" textlink="">
      <xdr:nvSpPr>
        <xdr:cNvPr id="599" name="AutoShape 15" descr="+">
          <a:extLst>
            <a:ext uri="{FF2B5EF4-FFF2-40B4-BE49-F238E27FC236}">
              <a16:creationId xmlns:a16="http://schemas.microsoft.com/office/drawing/2014/main" id="{60CD7C59-B06D-4C74-978E-7FFB6700CD76}"/>
            </a:ext>
          </a:extLst>
        </xdr:cNvPr>
        <xdr:cNvSpPr>
          <a:spLocks noChangeAspect="1" noChangeArrowheads="1"/>
        </xdr:cNvSpPr>
      </xdr:nvSpPr>
      <xdr:spPr bwMode="auto">
        <a:xfrm>
          <a:off x="1888435" y="4447761"/>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901"/>
    <xdr:sp macro="" textlink="">
      <xdr:nvSpPr>
        <xdr:cNvPr id="600" name="AutoShape 16" descr="+">
          <a:extLst>
            <a:ext uri="{FF2B5EF4-FFF2-40B4-BE49-F238E27FC236}">
              <a16:creationId xmlns:a16="http://schemas.microsoft.com/office/drawing/2014/main" id="{91CA10EF-BC4F-483B-A6B0-C945C66E9E34}"/>
            </a:ext>
          </a:extLst>
        </xdr:cNvPr>
        <xdr:cNvSpPr>
          <a:spLocks noChangeAspect="1" noChangeArrowheads="1"/>
        </xdr:cNvSpPr>
      </xdr:nvSpPr>
      <xdr:spPr bwMode="auto">
        <a:xfrm>
          <a:off x="1888435" y="4447761"/>
          <a:ext cx="304800" cy="1919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8133"/>
    <xdr:sp macro="" textlink="">
      <xdr:nvSpPr>
        <xdr:cNvPr id="601" name="AutoShape 17" descr="+">
          <a:extLst>
            <a:ext uri="{FF2B5EF4-FFF2-40B4-BE49-F238E27FC236}">
              <a16:creationId xmlns:a16="http://schemas.microsoft.com/office/drawing/2014/main" id="{6E3D90D9-9A61-4F5D-BC66-CC3684BE33AE}"/>
            </a:ext>
          </a:extLst>
        </xdr:cNvPr>
        <xdr:cNvSpPr>
          <a:spLocks noChangeAspect="1" noChangeArrowheads="1"/>
        </xdr:cNvSpPr>
      </xdr:nvSpPr>
      <xdr:spPr bwMode="auto">
        <a:xfrm>
          <a:off x="1888435" y="4447761"/>
          <a:ext cx="304800" cy="178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8135"/>
    <xdr:sp macro="" textlink="">
      <xdr:nvSpPr>
        <xdr:cNvPr id="602" name="AutoShape 18" descr="+">
          <a:extLst>
            <a:ext uri="{FF2B5EF4-FFF2-40B4-BE49-F238E27FC236}">
              <a16:creationId xmlns:a16="http://schemas.microsoft.com/office/drawing/2014/main" id="{B643415D-8830-40AA-BCDE-E387D9EDBC35}"/>
            </a:ext>
          </a:extLst>
        </xdr:cNvPr>
        <xdr:cNvSpPr>
          <a:spLocks noChangeAspect="1" noChangeArrowheads="1"/>
        </xdr:cNvSpPr>
      </xdr:nvSpPr>
      <xdr:spPr bwMode="auto">
        <a:xfrm>
          <a:off x="1888435" y="4447761"/>
          <a:ext cx="304800" cy="1781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9535"/>
    <xdr:sp macro="" textlink="">
      <xdr:nvSpPr>
        <xdr:cNvPr id="603" name="AutoShape 19" descr="+">
          <a:extLst>
            <a:ext uri="{FF2B5EF4-FFF2-40B4-BE49-F238E27FC236}">
              <a16:creationId xmlns:a16="http://schemas.microsoft.com/office/drawing/2014/main" id="{62719FF8-4A9F-4297-A5C5-0DEB44B599B6}"/>
            </a:ext>
          </a:extLst>
        </xdr:cNvPr>
        <xdr:cNvSpPr>
          <a:spLocks noChangeAspect="1" noChangeArrowheads="1"/>
        </xdr:cNvSpPr>
      </xdr:nvSpPr>
      <xdr:spPr bwMode="auto">
        <a:xfrm>
          <a:off x="1888435" y="4447761"/>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8132"/>
    <xdr:sp macro="" textlink="">
      <xdr:nvSpPr>
        <xdr:cNvPr id="604" name="AutoShape 20" descr="+">
          <a:extLst>
            <a:ext uri="{FF2B5EF4-FFF2-40B4-BE49-F238E27FC236}">
              <a16:creationId xmlns:a16="http://schemas.microsoft.com/office/drawing/2014/main" id="{B3A20879-D00B-40FF-8F0F-263DEDC9FC24}"/>
            </a:ext>
          </a:extLst>
        </xdr:cNvPr>
        <xdr:cNvSpPr>
          <a:spLocks noChangeAspect="1" noChangeArrowheads="1"/>
        </xdr:cNvSpPr>
      </xdr:nvSpPr>
      <xdr:spPr bwMode="auto">
        <a:xfrm>
          <a:off x="1888435" y="4447761"/>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12"/>
    <xdr:sp macro="" textlink="">
      <xdr:nvSpPr>
        <xdr:cNvPr id="605" name="AutoShape 21" descr="+">
          <a:extLst>
            <a:ext uri="{FF2B5EF4-FFF2-40B4-BE49-F238E27FC236}">
              <a16:creationId xmlns:a16="http://schemas.microsoft.com/office/drawing/2014/main" id="{56678721-9FA9-42F9-959F-EFB2C7816AD6}"/>
            </a:ext>
          </a:extLst>
        </xdr:cNvPr>
        <xdr:cNvSpPr>
          <a:spLocks noChangeAspect="1" noChangeArrowheads="1"/>
        </xdr:cNvSpPr>
      </xdr:nvSpPr>
      <xdr:spPr bwMode="auto">
        <a:xfrm>
          <a:off x="1888435" y="4447761"/>
          <a:ext cx="304800" cy="208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07"/>
    <xdr:sp macro="" textlink="">
      <xdr:nvSpPr>
        <xdr:cNvPr id="606" name="AutoShape 22" descr="+">
          <a:extLst>
            <a:ext uri="{FF2B5EF4-FFF2-40B4-BE49-F238E27FC236}">
              <a16:creationId xmlns:a16="http://schemas.microsoft.com/office/drawing/2014/main" id="{4FB0FA82-57CA-4093-A57A-E81F25C2EBC6}"/>
            </a:ext>
          </a:extLst>
        </xdr:cNvPr>
        <xdr:cNvSpPr>
          <a:spLocks noChangeAspect="1" noChangeArrowheads="1"/>
        </xdr:cNvSpPr>
      </xdr:nvSpPr>
      <xdr:spPr bwMode="auto">
        <a:xfrm>
          <a:off x="1888435" y="4447761"/>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11"/>
    <xdr:sp macro="" textlink="">
      <xdr:nvSpPr>
        <xdr:cNvPr id="607" name="AutoShape 23" descr="+">
          <a:extLst>
            <a:ext uri="{FF2B5EF4-FFF2-40B4-BE49-F238E27FC236}">
              <a16:creationId xmlns:a16="http://schemas.microsoft.com/office/drawing/2014/main" id="{F46E59D7-38AE-46C1-9CAF-49F01D9275D4}"/>
            </a:ext>
          </a:extLst>
        </xdr:cNvPr>
        <xdr:cNvSpPr>
          <a:spLocks noChangeAspect="1" noChangeArrowheads="1"/>
        </xdr:cNvSpPr>
      </xdr:nvSpPr>
      <xdr:spPr bwMode="auto">
        <a:xfrm>
          <a:off x="1888435" y="4447761"/>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8584"/>
    <xdr:sp macro="" textlink="">
      <xdr:nvSpPr>
        <xdr:cNvPr id="608" name="AutoShape 24" descr="+">
          <a:extLst>
            <a:ext uri="{FF2B5EF4-FFF2-40B4-BE49-F238E27FC236}">
              <a16:creationId xmlns:a16="http://schemas.microsoft.com/office/drawing/2014/main" id="{3064BF07-CBA3-43FF-95BD-662477E18D70}"/>
            </a:ext>
          </a:extLst>
        </xdr:cNvPr>
        <xdr:cNvSpPr>
          <a:spLocks noChangeAspect="1" noChangeArrowheads="1"/>
        </xdr:cNvSpPr>
      </xdr:nvSpPr>
      <xdr:spPr bwMode="auto">
        <a:xfrm>
          <a:off x="1888435" y="4447761"/>
          <a:ext cx="304800" cy="1985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10"/>
    <xdr:sp macro="" textlink="">
      <xdr:nvSpPr>
        <xdr:cNvPr id="609" name="AutoShape 25" descr="+">
          <a:extLst>
            <a:ext uri="{FF2B5EF4-FFF2-40B4-BE49-F238E27FC236}">
              <a16:creationId xmlns:a16="http://schemas.microsoft.com/office/drawing/2014/main" id="{759DE48D-D677-4C26-B7D5-92134E40BA14}"/>
            </a:ext>
          </a:extLst>
        </xdr:cNvPr>
        <xdr:cNvSpPr>
          <a:spLocks noChangeAspect="1" noChangeArrowheads="1"/>
        </xdr:cNvSpPr>
      </xdr:nvSpPr>
      <xdr:spPr bwMode="auto">
        <a:xfrm>
          <a:off x="1888435" y="4447761"/>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10"/>
    <xdr:sp macro="" textlink="">
      <xdr:nvSpPr>
        <xdr:cNvPr id="610" name="AutoShape 26" descr="+">
          <a:extLst>
            <a:ext uri="{FF2B5EF4-FFF2-40B4-BE49-F238E27FC236}">
              <a16:creationId xmlns:a16="http://schemas.microsoft.com/office/drawing/2014/main" id="{EBC84322-5214-4F65-B76A-6BC7819B9A97}"/>
            </a:ext>
          </a:extLst>
        </xdr:cNvPr>
        <xdr:cNvSpPr>
          <a:spLocks noChangeAspect="1" noChangeArrowheads="1"/>
        </xdr:cNvSpPr>
      </xdr:nvSpPr>
      <xdr:spPr bwMode="auto">
        <a:xfrm>
          <a:off x="1888435" y="4447761"/>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9535"/>
    <xdr:sp macro="" textlink="">
      <xdr:nvSpPr>
        <xdr:cNvPr id="611" name="AutoShape 27" descr="+">
          <a:extLst>
            <a:ext uri="{FF2B5EF4-FFF2-40B4-BE49-F238E27FC236}">
              <a16:creationId xmlns:a16="http://schemas.microsoft.com/office/drawing/2014/main" id="{5030FD1E-A4E3-4380-8C60-F577C3141766}"/>
            </a:ext>
          </a:extLst>
        </xdr:cNvPr>
        <xdr:cNvSpPr>
          <a:spLocks noChangeAspect="1" noChangeArrowheads="1"/>
        </xdr:cNvSpPr>
      </xdr:nvSpPr>
      <xdr:spPr bwMode="auto">
        <a:xfrm>
          <a:off x="1888435" y="4447761"/>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07"/>
    <xdr:sp macro="" textlink="">
      <xdr:nvSpPr>
        <xdr:cNvPr id="612" name="AutoShape 28" descr="+">
          <a:extLst>
            <a:ext uri="{FF2B5EF4-FFF2-40B4-BE49-F238E27FC236}">
              <a16:creationId xmlns:a16="http://schemas.microsoft.com/office/drawing/2014/main" id="{2885BDF2-DA64-4405-8D92-50A17A5101E5}"/>
            </a:ext>
          </a:extLst>
        </xdr:cNvPr>
        <xdr:cNvSpPr>
          <a:spLocks noChangeAspect="1" noChangeArrowheads="1"/>
        </xdr:cNvSpPr>
      </xdr:nvSpPr>
      <xdr:spPr bwMode="auto">
        <a:xfrm>
          <a:off x="1888435" y="4447761"/>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11"/>
    <xdr:sp macro="" textlink="">
      <xdr:nvSpPr>
        <xdr:cNvPr id="613" name="AutoShape 29" descr="+">
          <a:extLst>
            <a:ext uri="{FF2B5EF4-FFF2-40B4-BE49-F238E27FC236}">
              <a16:creationId xmlns:a16="http://schemas.microsoft.com/office/drawing/2014/main" id="{6FAEE8E4-65AD-4E1A-9F76-74241ECC4693}"/>
            </a:ext>
          </a:extLst>
        </xdr:cNvPr>
        <xdr:cNvSpPr>
          <a:spLocks noChangeAspect="1" noChangeArrowheads="1"/>
        </xdr:cNvSpPr>
      </xdr:nvSpPr>
      <xdr:spPr bwMode="auto">
        <a:xfrm>
          <a:off x="1888435" y="4447761"/>
          <a:ext cx="304800" cy="2017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14" name="AutoShape 30" descr="+">
          <a:extLst>
            <a:ext uri="{FF2B5EF4-FFF2-40B4-BE49-F238E27FC236}">
              <a16:creationId xmlns:a16="http://schemas.microsoft.com/office/drawing/2014/main" id="{DB9DD137-510D-470D-BF65-488E02DEC238}"/>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15" name="AutoShape 31" descr="+">
          <a:extLst>
            <a:ext uri="{FF2B5EF4-FFF2-40B4-BE49-F238E27FC236}">
              <a16:creationId xmlns:a16="http://schemas.microsoft.com/office/drawing/2014/main" id="{4BBB8AF7-85DE-49AC-9267-C92C6F3459C5}"/>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616" name="AutoShape 32" descr="+">
          <a:extLst>
            <a:ext uri="{FF2B5EF4-FFF2-40B4-BE49-F238E27FC236}">
              <a16:creationId xmlns:a16="http://schemas.microsoft.com/office/drawing/2014/main" id="{9176F051-60C7-4789-921D-48E7C96152D7}"/>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3088"/>
    <xdr:sp macro="" textlink="">
      <xdr:nvSpPr>
        <xdr:cNvPr id="617" name="AutoShape 33" descr="+">
          <a:extLst>
            <a:ext uri="{FF2B5EF4-FFF2-40B4-BE49-F238E27FC236}">
              <a16:creationId xmlns:a16="http://schemas.microsoft.com/office/drawing/2014/main" id="{48C0D024-C4ED-496A-A610-F80614135026}"/>
            </a:ext>
          </a:extLst>
        </xdr:cNvPr>
        <xdr:cNvSpPr>
          <a:spLocks noChangeAspect="1" noChangeArrowheads="1"/>
        </xdr:cNvSpPr>
      </xdr:nvSpPr>
      <xdr:spPr bwMode="auto">
        <a:xfrm>
          <a:off x="1888435" y="4447761"/>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618" name="AutoShape 34" descr="+">
          <a:extLst>
            <a:ext uri="{FF2B5EF4-FFF2-40B4-BE49-F238E27FC236}">
              <a16:creationId xmlns:a16="http://schemas.microsoft.com/office/drawing/2014/main" id="{13973312-9868-47AB-A1B5-131D0F0778C7}"/>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19" name="AutoShape 52" descr="+">
          <a:extLst>
            <a:ext uri="{FF2B5EF4-FFF2-40B4-BE49-F238E27FC236}">
              <a16:creationId xmlns:a16="http://schemas.microsoft.com/office/drawing/2014/main" id="{AEFDC8B9-EE24-46A6-88B1-EF043C4B9D5C}"/>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20" name="AutoShape 53" descr="+">
          <a:extLst>
            <a:ext uri="{FF2B5EF4-FFF2-40B4-BE49-F238E27FC236}">
              <a16:creationId xmlns:a16="http://schemas.microsoft.com/office/drawing/2014/main" id="{23875092-2B21-43FB-B7F6-EE2BE79DF9EF}"/>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8"/>
    <xdr:sp macro="" textlink="">
      <xdr:nvSpPr>
        <xdr:cNvPr id="621" name="AutoShape 54" descr="+">
          <a:extLst>
            <a:ext uri="{FF2B5EF4-FFF2-40B4-BE49-F238E27FC236}">
              <a16:creationId xmlns:a16="http://schemas.microsoft.com/office/drawing/2014/main" id="{EE7EFEF0-A5D3-4A5A-938D-84194E69F34A}"/>
            </a:ext>
          </a:extLst>
        </xdr:cNvPr>
        <xdr:cNvSpPr>
          <a:spLocks noChangeAspect="1" noChangeArrowheads="1"/>
        </xdr:cNvSpPr>
      </xdr:nvSpPr>
      <xdr:spPr bwMode="auto">
        <a:xfrm>
          <a:off x="1888435" y="4447761"/>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22" name="AutoShape 55" descr="+">
          <a:extLst>
            <a:ext uri="{FF2B5EF4-FFF2-40B4-BE49-F238E27FC236}">
              <a16:creationId xmlns:a16="http://schemas.microsoft.com/office/drawing/2014/main" id="{19F07D7B-9C69-4CD1-8645-BA25E2DB8444}"/>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23" name="AutoShape 56" descr="+">
          <a:extLst>
            <a:ext uri="{FF2B5EF4-FFF2-40B4-BE49-F238E27FC236}">
              <a16:creationId xmlns:a16="http://schemas.microsoft.com/office/drawing/2014/main" id="{CE7DC5F7-9692-4475-9B1F-FAF79436721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24" name="AutoShape 57" descr="+">
          <a:extLst>
            <a:ext uri="{FF2B5EF4-FFF2-40B4-BE49-F238E27FC236}">
              <a16:creationId xmlns:a16="http://schemas.microsoft.com/office/drawing/2014/main" id="{939C4544-852E-406A-8B47-F5AB477B53A6}"/>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25" name="AutoShape 58" descr="+">
          <a:extLst>
            <a:ext uri="{FF2B5EF4-FFF2-40B4-BE49-F238E27FC236}">
              <a16:creationId xmlns:a16="http://schemas.microsoft.com/office/drawing/2014/main" id="{3E41A0C2-D5A4-4CF2-85D1-096CF3438937}"/>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6"/>
    <xdr:sp macro="" textlink="">
      <xdr:nvSpPr>
        <xdr:cNvPr id="626" name="AutoShape 59" descr="+">
          <a:extLst>
            <a:ext uri="{FF2B5EF4-FFF2-40B4-BE49-F238E27FC236}">
              <a16:creationId xmlns:a16="http://schemas.microsoft.com/office/drawing/2014/main" id="{65E53851-7917-4A08-ADC6-49535DFABD9B}"/>
            </a:ext>
          </a:extLst>
        </xdr:cNvPr>
        <xdr:cNvSpPr>
          <a:spLocks noChangeAspect="1" noChangeArrowheads="1"/>
        </xdr:cNvSpPr>
      </xdr:nvSpPr>
      <xdr:spPr bwMode="auto">
        <a:xfrm>
          <a:off x="1888435" y="4447761"/>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7"/>
    <xdr:sp macro="" textlink="">
      <xdr:nvSpPr>
        <xdr:cNvPr id="627" name="AutoShape 60" descr="+">
          <a:extLst>
            <a:ext uri="{FF2B5EF4-FFF2-40B4-BE49-F238E27FC236}">
              <a16:creationId xmlns:a16="http://schemas.microsoft.com/office/drawing/2014/main" id="{DCDC9E43-8F4D-47E4-B798-2996C01FDC33}"/>
            </a:ext>
          </a:extLst>
        </xdr:cNvPr>
        <xdr:cNvSpPr>
          <a:spLocks noChangeAspect="1" noChangeArrowheads="1"/>
        </xdr:cNvSpPr>
      </xdr:nvSpPr>
      <xdr:spPr bwMode="auto">
        <a:xfrm>
          <a:off x="1888435" y="4447761"/>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628" name="AutoShape 61" descr="+">
          <a:extLst>
            <a:ext uri="{FF2B5EF4-FFF2-40B4-BE49-F238E27FC236}">
              <a16:creationId xmlns:a16="http://schemas.microsoft.com/office/drawing/2014/main" id="{1189D1C6-C49B-4DB0-84E5-E993F5204527}"/>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29" name="AutoShape 62" descr="+">
          <a:extLst>
            <a:ext uri="{FF2B5EF4-FFF2-40B4-BE49-F238E27FC236}">
              <a16:creationId xmlns:a16="http://schemas.microsoft.com/office/drawing/2014/main" id="{000BBF52-1F63-441A-95E9-420F0587C41D}"/>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30" name="AutoShape 63" descr="+">
          <a:extLst>
            <a:ext uri="{FF2B5EF4-FFF2-40B4-BE49-F238E27FC236}">
              <a16:creationId xmlns:a16="http://schemas.microsoft.com/office/drawing/2014/main" id="{9B1D8D5C-7A78-4A1E-AD9D-4DC3583978D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31" name="AutoShape 64" descr="+">
          <a:extLst>
            <a:ext uri="{FF2B5EF4-FFF2-40B4-BE49-F238E27FC236}">
              <a16:creationId xmlns:a16="http://schemas.microsoft.com/office/drawing/2014/main" id="{10F2EA97-B41C-45BD-9324-DED6227D48C0}"/>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6"/>
    <xdr:sp macro="" textlink="">
      <xdr:nvSpPr>
        <xdr:cNvPr id="632" name="AutoShape 65" descr="+">
          <a:extLst>
            <a:ext uri="{FF2B5EF4-FFF2-40B4-BE49-F238E27FC236}">
              <a16:creationId xmlns:a16="http://schemas.microsoft.com/office/drawing/2014/main" id="{23AD0AF3-F633-43B6-BB02-FFA6CE6723E0}"/>
            </a:ext>
          </a:extLst>
        </xdr:cNvPr>
        <xdr:cNvSpPr>
          <a:spLocks noChangeAspect="1" noChangeArrowheads="1"/>
        </xdr:cNvSpPr>
      </xdr:nvSpPr>
      <xdr:spPr bwMode="auto">
        <a:xfrm>
          <a:off x="1888435" y="4447761"/>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33" name="AutoShape 66" descr="+">
          <a:extLst>
            <a:ext uri="{FF2B5EF4-FFF2-40B4-BE49-F238E27FC236}">
              <a16:creationId xmlns:a16="http://schemas.microsoft.com/office/drawing/2014/main" id="{375402F9-18D6-481B-9D71-E9165E5B2A2F}"/>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8"/>
    <xdr:sp macro="" textlink="">
      <xdr:nvSpPr>
        <xdr:cNvPr id="634" name="AutoShape 67" descr="+">
          <a:extLst>
            <a:ext uri="{FF2B5EF4-FFF2-40B4-BE49-F238E27FC236}">
              <a16:creationId xmlns:a16="http://schemas.microsoft.com/office/drawing/2014/main" id="{D3A93B73-987B-400E-9516-0F8D4495610E}"/>
            </a:ext>
          </a:extLst>
        </xdr:cNvPr>
        <xdr:cNvSpPr>
          <a:spLocks noChangeAspect="1" noChangeArrowheads="1"/>
        </xdr:cNvSpPr>
      </xdr:nvSpPr>
      <xdr:spPr bwMode="auto">
        <a:xfrm>
          <a:off x="1888435" y="4447761"/>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8"/>
    <xdr:sp macro="" textlink="">
      <xdr:nvSpPr>
        <xdr:cNvPr id="635" name="AutoShape 68" descr="+">
          <a:extLst>
            <a:ext uri="{FF2B5EF4-FFF2-40B4-BE49-F238E27FC236}">
              <a16:creationId xmlns:a16="http://schemas.microsoft.com/office/drawing/2014/main" id="{960534A1-FD42-4963-AD97-5C9CABB40068}"/>
            </a:ext>
          </a:extLst>
        </xdr:cNvPr>
        <xdr:cNvSpPr>
          <a:spLocks noChangeAspect="1" noChangeArrowheads="1"/>
        </xdr:cNvSpPr>
      </xdr:nvSpPr>
      <xdr:spPr bwMode="auto">
        <a:xfrm>
          <a:off x="1888435" y="4447761"/>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36" name="AutoShape 69" descr="+">
          <a:extLst>
            <a:ext uri="{FF2B5EF4-FFF2-40B4-BE49-F238E27FC236}">
              <a16:creationId xmlns:a16="http://schemas.microsoft.com/office/drawing/2014/main" id="{22AEB4CA-0478-4015-A686-7FD1BB51DCB8}"/>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637" name="AutoShape 70" descr="+">
          <a:extLst>
            <a:ext uri="{FF2B5EF4-FFF2-40B4-BE49-F238E27FC236}">
              <a16:creationId xmlns:a16="http://schemas.microsoft.com/office/drawing/2014/main" id="{D63ADA8E-911E-40B3-9324-ADFFEF700075}"/>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2"/>
    <xdr:sp macro="" textlink="">
      <xdr:nvSpPr>
        <xdr:cNvPr id="638" name="AutoShape 71" descr="+">
          <a:extLst>
            <a:ext uri="{FF2B5EF4-FFF2-40B4-BE49-F238E27FC236}">
              <a16:creationId xmlns:a16="http://schemas.microsoft.com/office/drawing/2014/main" id="{F8C52046-F201-480D-81FE-48D9BF5239ED}"/>
            </a:ext>
          </a:extLst>
        </xdr:cNvPr>
        <xdr:cNvSpPr>
          <a:spLocks noChangeAspect="1" noChangeArrowheads="1"/>
        </xdr:cNvSpPr>
      </xdr:nvSpPr>
      <xdr:spPr bwMode="auto">
        <a:xfrm>
          <a:off x="1888435" y="4447761"/>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39" name="AutoShape 72" descr="+">
          <a:extLst>
            <a:ext uri="{FF2B5EF4-FFF2-40B4-BE49-F238E27FC236}">
              <a16:creationId xmlns:a16="http://schemas.microsoft.com/office/drawing/2014/main" id="{1E190E29-B521-4DDA-873C-2EBA55A72F94}"/>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40" name="AutoShape 73" descr="+">
          <a:extLst>
            <a:ext uri="{FF2B5EF4-FFF2-40B4-BE49-F238E27FC236}">
              <a16:creationId xmlns:a16="http://schemas.microsoft.com/office/drawing/2014/main" id="{BB5EDBB0-B6AF-43F6-AF2D-C4858AF9322D}"/>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641" name="AutoShape 74" descr="+">
          <a:extLst>
            <a:ext uri="{FF2B5EF4-FFF2-40B4-BE49-F238E27FC236}">
              <a16:creationId xmlns:a16="http://schemas.microsoft.com/office/drawing/2014/main" id="{A19218FD-773E-4735-80E8-9F6A72B6A9CE}"/>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42" name="AutoShape 75" descr="+">
          <a:extLst>
            <a:ext uri="{FF2B5EF4-FFF2-40B4-BE49-F238E27FC236}">
              <a16:creationId xmlns:a16="http://schemas.microsoft.com/office/drawing/2014/main" id="{8E8993C5-5114-407E-8D8A-70512A05A7D8}"/>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43" name="AutoShape 76" descr="+">
          <a:extLst>
            <a:ext uri="{FF2B5EF4-FFF2-40B4-BE49-F238E27FC236}">
              <a16:creationId xmlns:a16="http://schemas.microsoft.com/office/drawing/2014/main" id="{0DDFDFC5-5D09-4ECF-824B-8676ECF83BA5}"/>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44" name="AutoShape 77" descr="+">
          <a:extLst>
            <a:ext uri="{FF2B5EF4-FFF2-40B4-BE49-F238E27FC236}">
              <a16:creationId xmlns:a16="http://schemas.microsoft.com/office/drawing/2014/main" id="{31553AA4-2004-45E6-B569-9C1F6B810277}"/>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45" name="AutoShape 78" descr="+">
          <a:extLst>
            <a:ext uri="{FF2B5EF4-FFF2-40B4-BE49-F238E27FC236}">
              <a16:creationId xmlns:a16="http://schemas.microsoft.com/office/drawing/2014/main" id="{30264CBD-2E65-4BF9-8753-7228D6D87DB7}"/>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6689"/>
    <xdr:sp macro="" textlink="">
      <xdr:nvSpPr>
        <xdr:cNvPr id="646" name="AutoShape 79" descr="+">
          <a:extLst>
            <a:ext uri="{FF2B5EF4-FFF2-40B4-BE49-F238E27FC236}">
              <a16:creationId xmlns:a16="http://schemas.microsoft.com/office/drawing/2014/main" id="{E6C73EF4-2C38-43D2-AD4C-6975E431B6B4}"/>
            </a:ext>
          </a:extLst>
        </xdr:cNvPr>
        <xdr:cNvSpPr>
          <a:spLocks noChangeAspect="1" noChangeArrowheads="1"/>
        </xdr:cNvSpPr>
      </xdr:nvSpPr>
      <xdr:spPr bwMode="auto">
        <a:xfrm>
          <a:off x="1888435" y="4447761"/>
          <a:ext cx="304800" cy="1666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6688"/>
    <xdr:sp macro="" textlink="">
      <xdr:nvSpPr>
        <xdr:cNvPr id="647" name="AutoShape 80" descr="+">
          <a:extLst>
            <a:ext uri="{FF2B5EF4-FFF2-40B4-BE49-F238E27FC236}">
              <a16:creationId xmlns:a16="http://schemas.microsoft.com/office/drawing/2014/main" id="{81EAFCE6-6860-475E-B0F4-EB24400ED8ED}"/>
            </a:ext>
          </a:extLst>
        </xdr:cNvPr>
        <xdr:cNvSpPr>
          <a:spLocks noChangeAspect="1" noChangeArrowheads="1"/>
        </xdr:cNvSpPr>
      </xdr:nvSpPr>
      <xdr:spPr bwMode="auto">
        <a:xfrm>
          <a:off x="1888435" y="4447761"/>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655"/>
    <xdr:sp macro="" textlink="">
      <xdr:nvSpPr>
        <xdr:cNvPr id="648" name="AutoShape 81" descr="+">
          <a:extLst>
            <a:ext uri="{FF2B5EF4-FFF2-40B4-BE49-F238E27FC236}">
              <a16:creationId xmlns:a16="http://schemas.microsoft.com/office/drawing/2014/main" id="{EE6BAAFF-EF71-41C5-BE52-D5CC100A6302}"/>
            </a:ext>
          </a:extLst>
        </xdr:cNvPr>
        <xdr:cNvSpPr>
          <a:spLocks noChangeAspect="1" noChangeArrowheads="1"/>
        </xdr:cNvSpPr>
      </xdr:nvSpPr>
      <xdr:spPr bwMode="auto">
        <a:xfrm>
          <a:off x="1888435" y="4447761"/>
          <a:ext cx="304800" cy="1816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6688"/>
    <xdr:sp macro="" textlink="">
      <xdr:nvSpPr>
        <xdr:cNvPr id="649" name="AutoShape 82" descr="+">
          <a:extLst>
            <a:ext uri="{FF2B5EF4-FFF2-40B4-BE49-F238E27FC236}">
              <a16:creationId xmlns:a16="http://schemas.microsoft.com/office/drawing/2014/main" id="{00326285-FA8B-4CD8-8292-451B92E7375E}"/>
            </a:ext>
          </a:extLst>
        </xdr:cNvPr>
        <xdr:cNvSpPr>
          <a:spLocks noChangeAspect="1" noChangeArrowheads="1"/>
        </xdr:cNvSpPr>
      </xdr:nvSpPr>
      <xdr:spPr bwMode="auto">
        <a:xfrm>
          <a:off x="1888435" y="4447761"/>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71"/>
    <xdr:sp macro="" textlink="">
      <xdr:nvSpPr>
        <xdr:cNvPr id="650" name="AutoShape 83" descr="+">
          <a:extLst>
            <a:ext uri="{FF2B5EF4-FFF2-40B4-BE49-F238E27FC236}">
              <a16:creationId xmlns:a16="http://schemas.microsoft.com/office/drawing/2014/main" id="{06A85EEC-9ED8-42F5-B225-9093848BF47B}"/>
            </a:ext>
          </a:extLst>
        </xdr:cNvPr>
        <xdr:cNvSpPr>
          <a:spLocks noChangeAspect="1" noChangeArrowheads="1"/>
        </xdr:cNvSpPr>
      </xdr:nvSpPr>
      <xdr:spPr bwMode="auto">
        <a:xfrm>
          <a:off x="1888435" y="4447761"/>
          <a:ext cx="304800" cy="20547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9"/>
    <xdr:sp macro="" textlink="">
      <xdr:nvSpPr>
        <xdr:cNvPr id="651" name="AutoShape 84" descr="+">
          <a:extLst>
            <a:ext uri="{FF2B5EF4-FFF2-40B4-BE49-F238E27FC236}">
              <a16:creationId xmlns:a16="http://schemas.microsoft.com/office/drawing/2014/main" id="{E83B131B-BD9B-40EB-AD1C-C6EB88D17A5C}"/>
            </a:ext>
          </a:extLst>
        </xdr:cNvPr>
        <xdr:cNvSpPr>
          <a:spLocks noChangeAspect="1" noChangeArrowheads="1"/>
        </xdr:cNvSpPr>
      </xdr:nvSpPr>
      <xdr:spPr bwMode="auto">
        <a:xfrm>
          <a:off x="1888435" y="4447761"/>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8"/>
    <xdr:sp macro="" textlink="">
      <xdr:nvSpPr>
        <xdr:cNvPr id="652" name="AutoShape 85" descr="+">
          <a:extLst>
            <a:ext uri="{FF2B5EF4-FFF2-40B4-BE49-F238E27FC236}">
              <a16:creationId xmlns:a16="http://schemas.microsoft.com/office/drawing/2014/main" id="{590AD43C-2113-4559-949E-788AB475B76A}"/>
            </a:ext>
          </a:extLst>
        </xdr:cNvPr>
        <xdr:cNvSpPr>
          <a:spLocks noChangeAspect="1" noChangeArrowheads="1"/>
        </xdr:cNvSpPr>
      </xdr:nvSpPr>
      <xdr:spPr bwMode="auto">
        <a:xfrm>
          <a:off x="1888435" y="4447761"/>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6688"/>
    <xdr:sp macro="" textlink="">
      <xdr:nvSpPr>
        <xdr:cNvPr id="653" name="AutoShape 86" descr="+">
          <a:extLst>
            <a:ext uri="{FF2B5EF4-FFF2-40B4-BE49-F238E27FC236}">
              <a16:creationId xmlns:a16="http://schemas.microsoft.com/office/drawing/2014/main" id="{2E1A2E50-0EC2-4D82-8A09-29DA387FF661}"/>
            </a:ext>
          </a:extLst>
        </xdr:cNvPr>
        <xdr:cNvSpPr>
          <a:spLocks noChangeAspect="1" noChangeArrowheads="1"/>
        </xdr:cNvSpPr>
      </xdr:nvSpPr>
      <xdr:spPr bwMode="auto">
        <a:xfrm>
          <a:off x="1888435" y="4447761"/>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9"/>
    <xdr:sp macro="" textlink="">
      <xdr:nvSpPr>
        <xdr:cNvPr id="654" name="AutoShape 87" descr="+">
          <a:extLst>
            <a:ext uri="{FF2B5EF4-FFF2-40B4-BE49-F238E27FC236}">
              <a16:creationId xmlns:a16="http://schemas.microsoft.com/office/drawing/2014/main" id="{10C5669F-9E9E-4A9B-A3B3-7D6C8145DCCA}"/>
            </a:ext>
          </a:extLst>
        </xdr:cNvPr>
        <xdr:cNvSpPr>
          <a:spLocks noChangeAspect="1" noChangeArrowheads="1"/>
        </xdr:cNvSpPr>
      </xdr:nvSpPr>
      <xdr:spPr bwMode="auto">
        <a:xfrm>
          <a:off x="1888435" y="4447761"/>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9"/>
    <xdr:sp macro="" textlink="">
      <xdr:nvSpPr>
        <xdr:cNvPr id="655" name="AutoShape 88" descr="+">
          <a:extLst>
            <a:ext uri="{FF2B5EF4-FFF2-40B4-BE49-F238E27FC236}">
              <a16:creationId xmlns:a16="http://schemas.microsoft.com/office/drawing/2014/main" id="{AD51A60A-EC9B-4A05-991D-286948256BDD}"/>
            </a:ext>
          </a:extLst>
        </xdr:cNvPr>
        <xdr:cNvSpPr>
          <a:spLocks noChangeAspect="1" noChangeArrowheads="1"/>
        </xdr:cNvSpPr>
      </xdr:nvSpPr>
      <xdr:spPr bwMode="auto">
        <a:xfrm>
          <a:off x="1888435" y="4447761"/>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70"/>
    <xdr:sp macro="" textlink="">
      <xdr:nvSpPr>
        <xdr:cNvPr id="656" name="AutoShape 89" descr="+">
          <a:extLst>
            <a:ext uri="{FF2B5EF4-FFF2-40B4-BE49-F238E27FC236}">
              <a16:creationId xmlns:a16="http://schemas.microsoft.com/office/drawing/2014/main" id="{61BDC94E-5175-4A2A-803C-8CA597334467}"/>
            </a:ext>
          </a:extLst>
        </xdr:cNvPr>
        <xdr:cNvSpPr>
          <a:spLocks noChangeAspect="1" noChangeArrowheads="1"/>
        </xdr:cNvSpPr>
      </xdr:nvSpPr>
      <xdr:spPr bwMode="auto">
        <a:xfrm>
          <a:off x="1888435" y="4447761"/>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7"/>
    <xdr:sp macro="" textlink="">
      <xdr:nvSpPr>
        <xdr:cNvPr id="657" name="AutoShape 90" descr="+">
          <a:extLst>
            <a:ext uri="{FF2B5EF4-FFF2-40B4-BE49-F238E27FC236}">
              <a16:creationId xmlns:a16="http://schemas.microsoft.com/office/drawing/2014/main" id="{991ECE4E-3134-40A7-8562-F5E48606D067}"/>
            </a:ext>
          </a:extLst>
        </xdr:cNvPr>
        <xdr:cNvSpPr>
          <a:spLocks noChangeAspect="1" noChangeArrowheads="1"/>
        </xdr:cNvSpPr>
      </xdr:nvSpPr>
      <xdr:spPr bwMode="auto">
        <a:xfrm>
          <a:off x="1888435" y="4447761"/>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6629"/>
    <xdr:sp macro="" textlink="">
      <xdr:nvSpPr>
        <xdr:cNvPr id="658" name="AutoShape 91" descr="+">
          <a:extLst>
            <a:ext uri="{FF2B5EF4-FFF2-40B4-BE49-F238E27FC236}">
              <a16:creationId xmlns:a16="http://schemas.microsoft.com/office/drawing/2014/main" id="{A746469D-497A-4E3B-A404-F2EC3A0F5B2B}"/>
            </a:ext>
          </a:extLst>
        </xdr:cNvPr>
        <xdr:cNvSpPr>
          <a:spLocks noChangeAspect="1" noChangeArrowheads="1"/>
        </xdr:cNvSpPr>
      </xdr:nvSpPr>
      <xdr:spPr bwMode="auto">
        <a:xfrm>
          <a:off x="1888435" y="4447761"/>
          <a:ext cx="304800" cy="306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450"/>
    <xdr:sp macro="" textlink="">
      <xdr:nvSpPr>
        <xdr:cNvPr id="659" name="AutoShape 92" descr="+">
          <a:extLst>
            <a:ext uri="{FF2B5EF4-FFF2-40B4-BE49-F238E27FC236}">
              <a16:creationId xmlns:a16="http://schemas.microsoft.com/office/drawing/2014/main" id="{026675FE-4590-4FBC-B3B2-00ADDC0352B9}"/>
            </a:ext>
          </a:extLst>
        </xdr:cNvPr>
        <xdr:cNvSpPr>
          <a:spLocks noChangeAspect="1" noChangeArrowheads="1"/>
        </xdr:cNvSpPr>
      </xdr:nvSpPr>
      <xdr:spPr bwMode="auto">
        <a:xfrm>
          <a:off x="1888435" y="4447761"/>
          <a:ext cx="30480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70"/>
    <xdr:sp macro="" textlink="">
      <xdr:nvSpPr>
        <xdr:cNvPr id="660" name="AutoShape 93" descr="+">
          <a:extLst>
            <a:ext uri="{FF2B5EF4-FFF2-40B4-BE49-F238E27FC236}">
              <a16:creationId xmlns:a16="http://schemas.microsoft.com/office/drawing/2014/main" id="{3527AA4A-2A2C-45BB-8218-2D646B3B2326}"/>
            </a:ext>
          </a:extLst>
        </xdr:cNvPr>
        <xdr:cNvSpPr>
          <a:spLocks noChangeAspect="1" noChangeArrowheads="1"/>
        </xdr:cNvSpPr>
      </xdr:nvSpPr>
      <xdr:spPr bwMode="auto">
        <a:xfrm>
          <a:off x="1888435" y="4447761"/>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70"/>
    <xdr:sp macro="" textlink="">
      <xdr:nvSpPr>
        <xdr:cNvPr id="661" name="AutoShape 94" descr="+">
          <a:extLst>
            <a:ext uri="{FF2B5EF4-FFF2-40B4-BE49-F238E27FC236}">
              <a16:creationId xmlns:a16="http://schemas.microsoft.com/office/drawing/2014/main" id="{A7AC674E-0B8A-470A-8430-6FA9886BA3DD}"/>
            </a:ext>
          </a:extLst>
        </xdr:cNvPr>
        <xdr:cNvSpPr>
          <a:spLocks noChangeAspect="1" noChangeArrowheads="1"/>
        </xdr:cNvSpPr>
      </xdr:nvSpPr>
      <xdr:spPr bwMode="auto">
        <a:xfrm>
          <a:off x="1888435" y="4447761"/>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8"/>
    <xdr:sp macro="" textlink="">
      <xdr:nvSpPr>
        <xdr:cNvPr id="662" name="AutoShape 95" descr="+">
          <a:extLst>
            <a:ext uri="{FF2B5EF4-FFF2-40B4-BE49-F238E27FC236}">
              <a16:creationId xmlns:a16="http://schemas.microsoft.com/office/drawing/2014/main" id="{5362B434-11E9-44B2-82B0-507D77B867FD}"/>
            </a:ext>
          </a:extLst>
        </xdr:cNvPr>
        <xdr:cNvSpPr>
          <a:spLocks noChangeAspect="1" noChangeArrowheads="1"/>
        </xdr:cNvSpPr>
      </xdr:nvSpPr>
      <xdr:spPr bwMode="auto">
        <a:xfrm>
          <a:off x="1888435" y="4447761"/>
          <a:ext cx="304800" cy="200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63" name="AutoShape 96" descr="+">
          <a:extLst>
            <a:ext uri="{FF2B5EF4-FFF2-40B4-BE49-F238E27FC236}">
              <a16:creationId xmlns:a16="http://schemas.microsoft.com/office/drawing/2014/main" id="{17A581A0-BDE5-456E-ABD2-08F6ED2656A2}"/>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64" name="AutoShape 97" descr="+">
          <a:extLst>
            <a:ext uri="{FF2B5EF4-FFF2-40B4-BE49-F238E27FC236}">
              <a16:creationId xmlns:a16="http://schemas.microsoft.com/office/drawing/2014/main" id="{E42DC7B5-B09D-4E69-92AB-AB33D92729FB}"/>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665" name="AutoShape 98" descr="+">
          <a:extLst>
            <a:ext uri="{FF2B5EF4-FFF2-40B4-BE49-F238E27FC236}">
              <a16:creationId xmlns:a16="http://schemas.microsoft.com/office/drawing/2014/main" id="{CC1B6199-E6ED-4394-8607-CB76C7D9C310}"/>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666" name="AutoShape 99" descr="+">
          <a:extLst>
            <a:ext uri="{FF2B5EF4-FFF2-40B4-BE49-F238E27FC236}">
              <a16:creationId xmlns:a16="http://schemas.microsoft.com/office/drawing/2014/main" id="{F0C1363F-BBF5-422D-A8DA-06E180F2C550}"/>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6"/>
    <xdr:sp macro="" textlink="">
      <xdr:nvSpPr>
        <xdr:cNvPr id="667" name="AutoShape 100" descr="+">
          <a:extLst>
            <a:ext uri="{FF2B5EF4-FFF2-40B4-BE49-F238E27FC236}">
              <a16:creationId xmlns:a16="http://schemas.microsoft.com/office/drawing/2014/main" id="{18BCB892-5F40-48DC-A199-BB47A5810B8C}"/>
            </a:ext>
          </a:extLst>
        </xdr:cNvPr>
        <xdr:cNvSpPr>
          <a:spLocks noChangeAspect="1" noChangeArrowheads="1"/>
        </xdr:cNvSpPr>
      </xdr:nvSpPr>
      <xdr:spPr bwMode="auto">
        <a:xfrm>
          <a:off x="1888435" y="4447761"/>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68" name="AutoShape 101" descr="+">
          <a:extLst>
            <a:ext uri="{FF2B5EF4-FFF2-40B4-BE49-F238E27FC236}">
              <a16:creationId xmlns:a16="http://schemas.microsoft.com/office/drawing/2014/main" id="{F9A6B529-5A7F-43BB-B9D1-725BCED93E00}"/>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69" name="AutoShape 102" descr="+">
          <a:extLst>
            <a:ext uri="{FF2B5EF4-FFF2-40B4-BE49-F238E27FC236}">
              <a16:creationId xmlns:a16="http://schemas.microsoft.com/office/drawing/2014/main" id="{652E25F4-7BCE-45BF-8826-E15BC54ABE7C}"/>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670" name="AutoShape 103" descr="+">
          <a:extLst>
            <a:ext uri="{FF2B5EF4-FFF2-40B4-BE49-F238E27FC236}">
              <a16:creationId xmlns:a16="http://schemas.microsoft.com/office/drawing/2014/main" id="{2F7F2928-EC41-4E80-80DF-D9AF91EA63C7}"/>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71" name="AutoShape 104" descr="+">
          <a:extLst>
            <a:ext uri="{FF2B5EF4-FFF2-40B4-BE49-F238E27FC236}">
              <a16:creationId xmlns:a16="http://schemas.microsoft.com/office/drawing/2014/main" id="{26188E84-B277-484C-9E69-AED8CB38FC9D}"/>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2133"/>
    <xdr:sp macro="" textlink="">
      <xdr:nvSpPr>
        <xdr:cNvPr id="672" name="AutoShape 105" descr="+">
          <a:extLst>
            <a:ext uri="{FF2B5EF4-FFF2-40B4-BE49-F238E27FC236}">
              <a16:creationId xmlns:a16="http://schemas.microsoft.com/office/drawing/2014/main" id="{7642E38C-C0ED-493A-9900-3D9965B80505}"/>
            </a:ext>
          </a:extLst>
        </xdr:cNvPr>
        <xdr:cNvSpPr>
          <a:spLocks noChangeAspect="1" noChangeArrowheads="1"/>
        </xdr:cNvSpPr>
      </xdr:nvSpPr>
      <xdr:spPr bwMode="auto">
        <a:xfrm>
          <a:off x="1888435" y="4447761"/>
          <a:ext cx="304800" cy="172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5"/>
    <xdr:sp macro="" textlink="">
      <xdr:nvSpPr>
        <xdr:cNvPr id="673" name="AutoShape 106" descr="+">
          <a:extLst>
            <a:ext uri="{FF2B5EF4-FFF2-40B4-BE49-F238E27FC236}">
              <a16:creationId xmlns:a16="http://schemas.microsoft.com/office/drawing/2014/main" id="{CAEA7FCA-842E-4EFB-95BE-53E63BA5D670}"/>
            </a:ext>
          </a:extLst>
        </xdr:cNvPr>
        <xdr:cNvSpPr>
          <a:spLocks noChangeAspect="1" noChangeArrowheads="1"/>
        </xdr:cNvSpPr>
      </xdr:nvSpPr>
      <xdr:spPr bwMode="auto">
        <a:xfrm>
          <a:off x="1888435" y="4447761"/>
          <a:ext cx="304800" cy="200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0"/>
    <xdr:sp macro="" textlink="">
      <xdr:nvSpPr>
        <xdr:cNvPr id="674" name="AutoShape 107" descr="+">
          <a:extLst>
            <a:ext uri="{FF2B5EF4-FFF2-40B4-BE49-F238E27FC236}">
              <a16:creationId xmlns:a16="http://schemas.microsoft.com/office/drawing/2014/main" id="{CBFB2D48-217E-453A-80EB-73858D4DC81D}"/>
            </a:ext>
          </a:extLst>
        </xdr:cNvPr>
        <xdr:cNvSpPr>
          <a:spLocks noChangeAspect="1" noChangeArrowheads="1"/>
        </xdr:cNvSpPr>
      </xdr:nvSpPr>
      <xdr:spPr bwMode="auto">
        <a:xfrm>
          <a:off x="1888435" y="4447761"/>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75" name="AutoShape 108" descr="+">
          <a:extLst>
            <a:ext uri="{FF2B5EF4-FFF2-40B4-BE49-F238E27FC236}">
              <a16:creationId xmlns:a16="http://schemas.microsoft.com/office/drawing/2014/main" id="{236405E6-E567-4651-8835-7CC3C8A09218}"/>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676" name="AutoShape 109" descr="+">
          <a:extLst>
            <a:ext uri="{FF2B5EF4-FFF2-40B4-BE49-F238E27FC236}">
              <a16:creationId xmlns:a16="http://schemas.microsoft.com/office/drawing/2014/main" id="{767FF66C-A87B-4D66-B824-B67024A1CBCF}"/>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77" name="AutoShape 110" descr="+">
          <a:extLst>
            <a:ext uri="{FF2B5EF4-FFF2-40B4-BE49-F238E27FC236}">
              <a16:creationId xmlns:a16="http://schemas.microsoft.com/office/drawing/2014/main" id="{86930FAD-E418-4CB7-AA4C-1A8981E29555}"/>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78" name="AutoShape 111" descr="+">
          <a:extLst>
            <a:ext uri="{FF2B5EF4-FFF2-40B4-BE49-F238E27FC236}">
              <a16:creationId xmlns:a16="http://schemas.microsoft.com/office/drawing/2014/main" id="{2F759F2E-0F2F-425C-9E81-3AA26D51CC23}"/>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79" name="AutoShape 112" descr="+">
          <a:extLst>
            <a:ext uri="{FF2B5EF4-FFF2-40B4-BE49-F238E27FC236}">
              <a16:creationId xmlns:a16="http://schemas.microsoft.com/office/drawing/2014/main" id="{9AB9B6FF-2A62-4A44-A95A-33C90B8FC4C5}"/>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58"/>
    <xdr:sp macro="" textlink="">
      <xdr:nvSpPr>
        <xdr:cNvPr id="680" name="AutoShape 113" descr="+">
          <a:extLst>
            <a:ext uri="{FF2B5EF4-FFF2-40B4-BE49-F238E27FC236}">
              <a16:creationId xmlns:a16="http://schemas.microsoft.com/office/drawing/2014/main" id="{BCE8BD5D-A5FC-49EF-8988-697A436B3212}"/>
            </a:ext>
          </a:extLst>
        </xdr:cNvPr>
        <xdr:cNvSpPr>
          <a:spLocks noChangeAspect="1" noChangeArrowheads="1"/>
        </xdr:cNvSpPr>
      </xdr:nvSpPr>
      <xdr:spPr bwMode="auto">
        <a:xfrm>
          <a:off x="1888435" y="4447761"/>
          <a:ext cx="304800" cy="1914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81" name="AutoShape 114" descr="+">
          <a:extLst>
            <a:ext uri="{FF2B5EF4-FFF2-40B4-BE49-F238E27FC236}">
              <a16:creationId xmlns:a16="http://schemas.microsoft.com/office/drawing/2014/main" id="{550CCD9C-BE63-4B73-B5BE-40D9A3542C9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82" name="AutoShape 115" descr="+">
          <a:extLst>
            <a:ext uri="{FF2B5EF4-FFF2-40B4-BE49-F238E27FC236}">
              <a16:creationId xmlns:a16="http://schemas.microsoft.com/office/drawing/2014/main" id="{9C40095D-ACDE-4D94-877C-2DCDAF88BC49}"/>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83" name="AutoShape 116" descr="+">
          <a:extLst>
            <a:ext uri="{FF2B5EF4-FFF2-40B4-BE49-F238E27FC236}">
              <a16:creationId xmlns:a16="http://schemas.microsoft.com/office/drawing/2014/main" id="{E5DF879C-FAE0-4CC7-BF66-4E0922332B4B}"/>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84" name="AutoShape 117" descr="+">
          <a:extLst>
            <a:ext uri="{FF2B5EF4-FFF2-40B4-BE49-F238E27FC236}">
              <a16:creationId xmlns:a16="http://schemas.microsoft.com/office/drawing/2014/main" id="{157A298E-6378-429A-977E-64F00279527C}"/>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85" name="AutoShape 118" descr="+">
          <a:extLst>
            <a:ext uri="{FF2B5EF4-FFF2-40B4-BE49-F238E27FC236}">
              <a16:creationId xmlns:a16="http://schemas.microsoft.com/office/drawing/2014/main" id="{A532DD31-D03E-4C0D-8050-AE9000D323A5}"/>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86" name="AutoShape 119" descr="+">
          <a:extLst>
            <a:ext uri="{FF2B5EF4-FFF2-40B4-BE49-F238E27FC236}">
              <a16:creationId xmlns:a16="http://schemas.microsoft.com/office/drawing/2014/main" id="{3EDEF8E2-DB69-4798-B2F5-0A362AC76ACA}"/>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87" name="AutoShape 120" descr="+">
          <a:extLst>
            <a:ext uri="{FF2B5EF4-FFF2-40B4-BE49-F238E27FC236}">
              <a16:creationId xmlns:a16="http://schemas.microsoft.com/office/drawing/2014/main" id="{E8F69F0B-24C9-4B46-8896-5A86B8B50B40}"/>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88" name="AutoShape 121" descr="+">
          <a:extLst>
            <a:ext uri="{FF2B5EF4-FFF2-40B4-BE49-F238E27FC236}">
              <a16:creationId xmlns:a16="http://schemas.microsoft.com/office/drawing/2014/main" id="{056150AA-D127-4D5E-8179-C248A1738327}"/>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689" name="AutoShape 122" descr="+">
          <a:extLst>
            <a:ext uri="{FF2B5EF4-FFF2-40B4-BE49-F238E27FC236}">
              <a16:creationId xmlns:a16="http://schemas.microsoft.com/office/drawing/2014/main" id="{B1423A0E-AC02-43E6-A6AD-03FA135AB4EC}"/>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690" name="AutoShape 123" descr="+">
          <a:extLst>
            <a:ext uri="{FF2B5EF4-FFF2-40B4-BE49-F238E27FC236}">
              <a16:creationId xmlns:a16="http://schemas.microsoft.com/office/drawing/2014/main" id="{24B2A645-3904-43B8-B7BC-FBB3144B0D3D}"/>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91" name="AutoShape 124" descr="+">
          <a:extLst>
            <a:ext uri="{FF2B5EF4-FFF2-40B4-BE49-F238E27FC236}">
              <a16:creationId xmlns:a16="http://schemas.microsoft.com/office/drawing/2014/main" id="{DF12106C-9FA9-4C87-9F74-5CB99C29D746}"/>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692" name="AutoShape 125" descr="+">
          <a:extLst>
            <a:ext uri="{FF2B5EF4-FFF2-40B4-BE49-F238E27FC236}">
              <a16:creationId xmlns:a16="http://schemas.microsoft.com/office/drawing/2014/main" id="{18A6D339-E55C-4B60-9C72-4D3D18769C98}"/>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93" name="AutoShape 126" descr="+">
          <a:extLst>
            <a:ext uri="{FF2B5EF4-FFF2-40B4-BE49-F238E27FC236}">
              <a16:creationId xmlns:a16="http://schemas.microsoft.com/office/drawing/2014/main" id="{E8FA965E-30B1-4FE0-9556-6400E8C0465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3088"/>
    <xdr:sp macro="" textlink="">
      <xdr:nvSpPr>
        <xdr:cNvPr id="694" name="AutoShape 127" descr="+">
          <a:extLst>
            <a:ext uri="{FF2B5EF4-FFF2-40B4-BE49-F238E27FC236}">
              <a16:creationId xmlns:a16="http://schemas.microsoft.com/office/drawing/2014/main" id="{BC7728C3-561D-416E-891A-1B34CDEC0530}"/>
            </a:ext>
          </a:extLst>
        </xdr:cNvPr>
        <xdr:cNvSpPr>
          <a:spLocks noChangeAspect="1" noChangeArrowheads="1"/>
        </xdr:cNvSpPr>
      </xdr:nvSpPr>
      <xdr:spPr bwMode="auto">
        <a:xfrm>
          <a:off x="1888435" y="4447761"/>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3089"/>
    <xdr:sp macro="" textlink="">
      <xdr:nvSpPr>
        <xdr:cNvPr id="695" name="AutoShape 128" descr="+">
          <a:extLst>
            <a:ext uri="{FF2B5EF4-FFF2-40B4-BE49-F238E27FC236}">
              <a16:creationId xmlns:a16="http://schemas.microsoft.com/office/drawing/2014/main" id="{4AD49220-9E6C-4CC6-8ECC-3540E50D2AB8}"/>
            </a:ext>
          </a:extLst>
        </xdr:cNvPr>
        <xdr:cNvSpPr>
          <a:spLocks noChangeAspect="1" noChangeArrowheads="1"/>
        </xdr:cNvSpPr>
      </xdr:nvSpPr>
      <xdr:spPr bwMode="auto">
        <a:xfrm>
          <a:off x="1888435" y="4447761"/>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96" name="AutoShape 129" descr="+">
          <a:extLst>
            <a:ext uri="{FF2B5EF4-FFF2-40B4-BE49-F238E27FC236}">
              <a16:creationId xmlns:a16="http://schemas.microsoft.com/office/drawing/2014/main" id="{520746DF-4889-478F-B27F-2FF7CEEF4C57}"/>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97" name="AutoShape 130" descr="+">
          <a:extLst>
            <a:ext uri="{FF2B5EF4-FFF2-40B4-BE49-F238E27FC236}">
              <a16:creationId xmlns:a16="http://schemas.microsoft.com/office/drawing/2014/main" id="{F6E7D8D9-F624-4DAE-83B8-71550DBC6A30}"/>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98" name="AutoShape 131" descr="+">
          <a:extLst>
            <a:ext uri="{FF2B5EF4-FFF2-40B4-BE49-F238E27FC236}">
              <a16:creationId xmlns:a16="http://schemas.microsoft.com/office/drawing/2014/main" id="{B1667887-50C1-4274-86CA-E89EEA50AE1C}"/>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99" name="AutoShape 132" descr="+">
          <a:extLst>
            <a:ext uri="{FF2B5EF4-FFF2-40B4-BE49-F238E27FC236}">
              <a16:creationId xmlns:a16="http://schemas.microsoft.com/office/drawing/2014/main" id="{305A0573-FEFE-4F2A-8384-F81A2FD998EB}"/>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00" name="AutoShape 133" descr="+">
          <a:extLst>
            <a:ext uri="{FF2B5EF4-FFF2-40B4-BE49-F238E27FC236}">
              <a16:creationId xmlns:a16="http://schemas.microsoft.com/office/drawing/2014/main" id="{DD73B690-540D-4F9B-A43F-39BFE298B56C}"/>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01" name="AutoShape 134" descr="+">
          <a:extLst>
            <a:ext uri="{FF2B5EF4-FFF2-40B4-BE49-F238E27FC236}">
              <a16:creationId xmlns:a16="http://schemas.microsoft.com/office/drawing/2014/main" id="{51BA1ABC-36D7-4716-A38A-E3A83E03E7ED}"/>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02" name="AutoShape 135" descr="+">
          <a:extLst>
            <a:ext uri="{FF2B5EF4-FFF2-40B4-BE49-F238E27FC236}">
              <a16:creationId xmlns:a16="http://schemas.microsoft.com/office/drawing/2014/main" id="{262ABF61-9ABC-4B24-ADA6-EB4A48D6C32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03" name="AutoShape 136" descr="+">
          <a:extLst>
            <a:ext uri="{FF2B5EF4-FFF2-40B4-BE49-F238E27FC236}">
              <a16:creationId xmlns:a16="http://schemas.microsoft.com/office/drawing/2014/main" id="{3AAC90BD-5158-419F-9147-1BD5714D0F78}"/>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04" name="AutoShape 137" descr="+">
          <a:extLst>
            <a:ext uri="{FF2B5EF4-FFF2-40B4-BE49-F238E27FC236}">
              <a16:creationId xmlns:a16="http://schemas.microsoft.com/office/drawing/2014/main" id="{3B852CB5-D440-417C-B479-B267C7167B5A}"/>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05" name="AutoShape 138" descr="+">
          <a:extLst>
            <a:ext uri="{FF2B5EF4-FFF2-40B4-BE49-F238E27FC236}">
              <a16:creationId xmlns:a16="http://schemas.microsoft.com/office/drawing/2014/main" id="{14C7BB99-9C10-40D2-B869-090D5A3EF47F}"/>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706" name="AutoShape 139" descr="+">
          <a:extLst>
            <a:ext uri="{FF2B5EF4-FFF2-40B4-BE49-F238E27FC236}">
              <a16:creationId xmlns:a16="http://schemas.microsoft.com/office/drawing/2014/main" id="{54163309-3691-496F-8625-3ED41377984A}"/>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2"/>
    <xdr:sp macro="" textlink="">
      <xdr:nvSpPr>
        <xdr:cNvPr id="707" name="AutoShape 140" descr="+">
          <a:extLst>
            <a:ext uri="{FF2B5EF4-FFF2-40B4-BE49-F238E27FC236}">
              <a16:creationId xmlns:a16="http://schemas.microsoft.com/office/drawing/2014/main" id="{0A789C91-13B7-4166-9623-ABDCB38B0F05}"/>
            </a:ext>
          </a:extLst>
        </xdr:cNvPr>
        <xdr:cNvSpPr>
          <a:spLocks noChangeAspect="1" noChangeArrowheads="1"/>
        </xdr:cNvSpPr>
      </xdr:nvSpPr>
      <xdr:spPr bwMode="auto">
        <a:xfrm>
          <a:off x="1888435" y="4447761"/>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08" name="AutoShape 141" descr="+">
          <a:extLst>
            <a:ext uri="{FF2B5EF4-FFF2-40B4-BE49-F238E27FC236}">
              <a16:creationId xmlns:a16="http://schemas.microsoft.com/office/drawing/2014/main" id="{94B4B578-8A78-4132-9BD8-3EF5BC3F7A44}"/>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09" name="AutoShape 142" descr="+">
          <a:extLst>
            <a:ext uri="{FF2B5EF4-FFF2-40B4-BE49-F238E27FC236}">
              <a16:creationId xmlns:a16="http://schemas.microsoft.com/office/drawing/2014/main" id="{E6A03382-E9F8-4B88-8D76-3FA2D782E493}"/>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26915"/>
    <xdr:sp macro="" textlink="">
      <xdr:nvSpPr>
        <xdr:cNvPr id="710" name="AutoShape 143" descr="+">
          <a:extLst>
            <a:ext uri="{FF2B5EF4-FFF2-40B4-BE49-F238E27FC236}">
              <a16:creationId xmlns:a16="http://schemas.microsoft.com/office/drawing/2014/main" id="{6124344A-0CD1-4888-961B-6176F7E3AE14}"/>
            </a:ext>
          </a:extLst>
        </xdr:cNvPr>
        <xdr:cNvSpPr>
          <a:spLocks noChangeAspect="1" noChangeArrowheads="1"/>
        </xdr:cNvSpPr>
      </xdr:nvSpPr>
      <xdr:spPr bwMode="auto">
        <a:xfrm>
          <a:off x="1888435" y="4447761"/>
          <a:ext cx="304800" cy="326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11" name="AutoShape 144" descr="+">
          <a:extLst>
            <a:ext uri="{FF2B5EF4-FFF2-40B4-BE49-F238E27FC236}">
              <a16:creationId xmlns:a16="http://schemas.microsoft.com/office/drawing/2014/main" id="{E3386357-6FD1-4479-9743-5CA2F3A3FFCA}"/>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12" name="AutoShape 145" descr="+">
          <a:extLst>
            <a:ext uri="{FF2B5EF4-FFF2-40B4-BE49-F238E27FC236}">
              <a16:creationId xmlns:a16="http://schemas.microsoft.com/office/drawing/2014/main" id="{F298E916-62BC-4505-9447-0766ACD4BAC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13" name="AutoShape 146" descr="+">
          <a:extLst>
            <a:ext uri="{FF2B5EF4-FFF2-40B4-BE49-F238E27FC236}">
              <a16:creationId xmlns:a16="http://schemas.microsoft.com/office/drawing/2014/main" id="{263D7E40-C1C5-4209-8666-FF8F59E1EBD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14" name="AutoShape 147" descr="+">
          <a:extLst>
            <a:ext uri="{FF2B5EF4-FFF2-40B4-BE49-F238E27FC236}">
              <a16:creationId xmlns:a16="http://schemas.microsoft.com/office/drawing/2014/main" id="{7CBA0640-1DCF-48A3-A21E-9DA5169C7DDC}"/>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6"/>
    <xdr:sp macro="" textlink="">
      <xdr:nvSpPr>
        <xdr:cNvPr id="715" name="AutoShape 148" descr="+">
          <a:extLst>
            <a:ext uri="{FF2B5EF4-FFF2-40B4-BE49-F238E27FC236}">
              <a16:creationId xmlns:a16="http://schemas.microsoft.com/office/drawing/2014/main" id="{4314236B-D21A-4DF1-BD38-733403B54811}"/>
            </a:ext>
          </a:extLst>
        </xdr:cNvPr>
        <xdr:cNvSpPr>
          <a:spLocks noChangeAspect="1" noChangeArrowheads="1"/>
        </xdr:cNvSpPr>
      </xdr:nvSpPr>
      <xdr:spPr bwMode="auto">
        <a:xfrm>
          <a:off x="1888435" y="4447761"/>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0"/>
    <xdr:sp macro="" textlink="">
      <xdr:nvSpPr>
        <xdr:cNvPr id="716" name="AutoShape 149" descr="+">
          <a:extLst>
            <a:ext uri="{FF2B5EF4-FFF2-40B4-BE49-F238E27FC236}">
              <a16:creationId xmlns:a16="http://schemas.microsoft.com/office/drawing/2014/main" id="{436FD943-D6C2-4765-9531-33DDE392D9DF}"/>
            </a:ext>
          </a:extLst>
        </xdr:cNvPr>
        <xdr:cNvSpPr>
          <a:spLocks noChangeAspect="1" noChangeArrowheads="1"/>
        </xdr:cNvSpPr>
      </xdr:nvSpPr>
      <xdr:spPr bwMode="auto">
        <a:xfrm>
          <a:off x="1888435" y="4447761"/>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17" name="AutoShape 150" descr="+">
          <a:extLst>
            <a:ext uri="{FF2B5EF4-FFF2-40B4-BE49-F238E27FC236}">
              <a16:creationId xmlns:a16="http://schemas.microsoft.com/office/drawing/2014/main" id="{823667CE-2807-405B-B707-EFA65EAFA7BB}"/>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18" name="AutoShape 151" descr="+">
          <a:extLst>
            <a:ext uri="{FF2B5EF4-FFF2-40B4-BE49-F238E27FC236}">
              <a16:creationId xmlns:a16="http://schemas.microsoft.com/office/drawing/2014/main" id="{5057AC56-1218-40E4-B535-C028E2B1D7FD}"/>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19" name="AutoShape 152" descr="+">
          <a:extLst>
            <a:ext uri="{FF2B5EF4-FFF2-40B4-BE49-F238E27FC236}">
              <a16:creationId xmlns:a16="http://schemas.microsoft.com/office/drawing/2014/main" id="{AB5E3EC5-842A-44C0-B9A8-D3D80F837B3A}"/>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1"/>
    <xdr:sp macro="" textlink="">
      <xdr:nvSpPr>
        <xdr:cNvPr id="720" name="AutoShape 153" descr="+">
          <a:extLst>
            <a:ext uri="{FF2B5EF4-FFF2-40B4-BE49-F238E27FC236}">
              <a16:creationId xmlns:a16="http://schemas.microsoft.com/office/drawing/2014/main" id="{F4B3ABDA-E077-47EA-B494-DBFBA474DE13}"/>
            </a:ext>
          </a:extLst>
        </xdr:cNvPr>
        <xdr:cNvSpPr>
          <a:spLocks noChangeAspect="1" noChangeArrowheads="1"/>
        </xdr:cNvSpPr>
      </xdr:nvSpPr>
      <xdr:spPr bwMode="auto">
        <a:xfrm>
          <a:off x="1888435" y="4447761"/>
          <a:ext cx="304800" cy="304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2410"/>
    <xdr:sp macro="" textlink="">
      <xdr:nvSpPr>
        <xdr:cNvPr id="721" name="AutoShape 154" descr="+">
          <a:extLst>
            <a:ext uri="{FF2B5EF4-FFF2-40B4-BE49-F238E27FC236}">
              <a16:creationId xmlns:a16="http://schemas.microsoft.com/office/drawing/2014/main" id="{FE8CEE9C-AB48-4A0D-8370-4B6209EB0F33}"/>
            </a:ext>
          </a:extLst>
        </xdr:cNvPr>
        <xdr:cNvSpPr>
          <a:spLocks noChangeAspect="1" noChangeArrowheads="1"/>
        </xdr:cNvSpPr>
      </xdr:nvSpPr>
      <xdr:spPr bwMode="auto">
        <a:xfrm>
          <a:off x="1888435" y="4447761"/>
          <a:ext cx="304800" cy="1724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22" name="AutoShape 155" descr="+">
          <a:extLst>
            <a:ext uri="{FF2B5EF4-FFF2-40B4-BE49-F238E27FC236}">
              <a16:creationId xmlns:a16="http://schemas.microsoft.com/office/drawing/2014/main" id="{92480431-E5AF-46D3-A15E-D7D4D7CE01AC}"/>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0"/>
    <xdr:sp macro="" textlink="">
      <xdr:nvSpPr>
        <xdr:cNvPr id="723" name="AutoShape 156" descr="+">
          <a:extLst>
            <a:ext uri="{FF2B5EF4-FFF2-40B4-BE49-F238E27FC236}">
              <a16:creationId xmlns:a16="http://schemas.microsoft.com/office/drawing/2014/main" id="{BA357462-F3C8-4CF2-A86D-9C4F4E6D586F}"/>
            </a:ext>
          </a:extLst>
        </xdr:cNvPr>
        <xdr:cNvSpPr>
          <a:spLocks noChangeAspect="1" noChangeArrowheads="1"/>
        </xdr:cNvSpPr>
      </xdr:nvSpPr>
      <xdr:spPr bwMode="auto">
        <a:xfrm>
          <a:off x="1888435" y="4447761"/>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2"/>
    <xdr:sp macro="" textlink="">
      <xdr:nvSpPr>
        <xdr:cNvPr id="724" name="AutoShape 157" descr="+">
          <a:extLst>
            <a:ext uri="{FF2B5EF4-FFF2-40B4-BE49-F238E27FC236}">
              <a16:creationId xmlns:a16="http://schemas.microsoft.com/office/drawing/2014/main" id="{D2E1C798-6112-4551-B234-C4FF83BB8986}"/>
            </a:ext>
          </a:extLst>
        </xdr:cNvPr>
        <xdr:cNvSpPr>
          <a:spLocks noChangeAspect="1" noChangeArrowheads="1"/>
        </xdr:cNvSpPr>
      </xdr:nvSpPr>
      <xdr:spPr bwMode="auto">
        <a:xfrm>
          <a:off x="1888435" y="4447761"/>
          <a:ext cx="304800" cy="204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25" name="AutoShape 158" descr="+">
          <a:extLst>
            <a:ext uri="{FF2B5EF4-FFF2-40B4-BE49-F238E27FC236}">
              <a16:creationId xmlns:a16="http://schemas.microsoft.com/office/drawing/2014/main" id="{8A26714B-88E9-4D7F-9C96-105F27066946}"/>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26" name="AutoShape 159" descr="+">
          <a:extLst>
            <a:ext uri="{FF2B5EF4-FFF2-40B4-BE49-F238E27FC236}">
              <a16:creationId xmlns:a16="http://schemas.microsoft.com/office/drawing/2014/main" id="{D2B4C2D4-9650-435B-A8BD-C2909A4FFAC3}"/>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6"/>
    <xdr:sp macro="" textlink="">
      <xdr:nvSpPr>
        <xdr:cNvPr id="727" name="AutoShape 160" descr="+">
          <a:extLst>
            <a:ext uri="{FF2B5EF4-FFF2-40B4-BE49-F238E27FC236}">
              <a16:creationId xmlns:a16="http://schemas.microsoft.com/office/drawing/2014/main" id="{70D85780-5B7F-4168-810B-8FAEE502E0E5}"/>
            </a:ext>
          </a:extLst>
        </xdr:cNvPr>
        <xdr:cNvSpPr>
          <a:spLocks noChangeAspect="1" noChangeArrowheads="1"/>
        </xdr:cNvSpPr>
      </xdr:nvSpPr>
      <xdr:spPr bwMode="auto">
        <a:xfrm>
          <a:off x="1888435" y="4447761"/>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2"/>
    <xdr:sp macro="" textlink="">
      <xdr:nvSpPr>
        <xdr:cNvPr id="728" name="AutoShape 161" descr="+">
          <a:extLst>
            <a:ext uri="{FF2B5EF4-FFF2-40B4-BE49-F238E27FC236}">
              <a16:creationId xmlns:a16="http://schemas.microsoft.com/office/drawing/2014/main" id="{5AFCC8DE-95D6-49C8-8302-8E031777712A}"/>
            </a:ext>
          </a:extLst>
        </xdr:cNvPr>
        <xdr:cNvSpPr>
          <a:spLocks noChangeAspect="1" noChangeArrowheads="1"/>
        </xdr:cNvSpPr>
      </xdr:nvSpPr>
      <xdr:spPr bwMode="auto">
        <a:xfrm>
          <a:off x="1888435" y="4447761"/>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29" name="AutoShape 162" descr="+">
          <a:extLst>
            <a:ext uri="{FF2B5EF4-FFF2-40B4-BE49-F238E27FC236}">
              <a16:creationId xmlns:a16="http://schemas.microsoft.com/office/drawing/2014/main" id="{523BEA9F-8A8F-434D-9B3C-0CB2E2A37990}"/>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30" name="AutoShape 163" descr="+">
          <a:extLst>
            <a:ext uri="{FF2B5EF4-FFF2-40B4-BE49-F238E27FC236}">
              <a16:creationId xmlns:a16="http://schemas.microsoft.com/office/drawing/2014/main" id="{25D6D85A-B8F9-430D-87EE-8EF50B1095AD}"/>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0"/>
    <xdr:sp macro="" textlink="">
      <xdr:nvSpPr>
        <xdr:cNvPr id="731" name="AutoShape 164" descr="+">
          <a:extLst>
            <a:ext uri="{FF2B5EF4-FFF2-40B4-BE49-F238E27FC236}">
              <a16:creationId xmlns:a16="http://schemas.microsoft.com/office/drawing/2014/main" id="{DE58CBC3-3590-44A9-AD41-622503420E14}"/>
            </a:ext>
          </a:extLst>
        </xdr:cNvPr>
        <xdr:cNvSpPr>
          <a:spLocks noChangeAspect="1" noChangeArrowheads="1"/>
        </xdr:cNvSpPr>
      </xdr:nvSpPr>
      <xdr:spPr bwMode="auto">
        <a:xfrm>
          <a:off x="1888435" y="4447761"/>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32" name="AutoShape 165" descr="+">
          <a:extLst>
            <a:ext uri="{FF2B5EF4-FFF2-40B4-BE49-F238E27FC236}">
              <a16:creationId xmlns:a16="http://schemas.microsoft.com/office/drawing/2014/main" id="{FB9F77ED-F974-43F9-85FF-80F995CF134C}"/>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33" name="AutoShape 166" descr="+">
          <a:extLst>
            <a:ext uri="{FF2B5EF4-FFF2-40B4-BE49-F238E27FC236}">
              <a16:creationId xmlns:a16="http://schemas.microsoft.com/office/drawing/2014/main" id="{5EF7F9EA-5ADF-4713-96BB-F2F8A5D5570A}"/>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734" name="AutoShape 167" descr="+">
          <a:extLst>
            <a:ext uri="{FF2B5EF4-FFF2-40B4-BE49-F238E27FC236}">
              <a16:creationId xmlns:a16="http://schemas.microsoft.com/office/drawing/2014/main" id="{C05B8DB0-7445-436A-8EE6-6244B6176706}"/>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8470"/>
    <xdr:sp macro="" textlink="">
      <xdr:nvSpPr>
        <xdr:cNvPr id="735" name="AutoShape 168" descr="+">
          <a:extLst>
            <a:ext uri="{FF2B5EF4-FFF2-40B4-BE49-F238E27FC236}">
              <a16:creationId xmlns:a16="http://schemas.microsoft.com/office/drawing/2014/main" id="{794F3897-039C-411A-B33D-995FF4963BCF}"/>
            </a:ext>
          </a:extLst>
        </xdr:cNvPr>
        <xdr:cNvSpPr>
          <a:spLocks noChangeAspect="1" noChangeArrowheads="1"/>
        </xdr:cNvSpPr>
      </xdr:nvSpPr>
      <xdr:spPr bwMode="auto">
        <a:xfrm>
          <a:off x="1888435" y="4447761"/>
          <a:ext cx="304800" cy="308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5533"/>
    <xdr:sp macro="" textlink="">
      <xdr:nvSpPr>
        <xdr:cNvPr id="736" name="AutoShape 169" descr="+">
          <a:extLst>
            <a:ext uri="{FF2B5EF4-FFF2-40B4-BE49-F238E27FC236}">
              <a16:creationId xmlns:a16="http://schemas.microsoft.com/office/drawing/2014/main" id="{C1B3FEC4-C608-4653-893F-4590399D9304}"/>
            </a:ext>
          </a:extLst>
        </xdr:cNvPr>
        <xdr:cNvSpPr>
          <a:spLocks noChangeAspect="1" noChangeArrowheads="1"/>
        </xdr:cNvSpPr>
      </xdr:nvSpPr>
      <xdr:spPr bwMode="auto">
        <a:xfrm>
          <a:off x="1888435" y="4447761"/>
          <a:ext cx="304800" cy="1755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6"/>
    <xdr:sp macro="" textlink="">
      <xdr:nvSpPr>
        <xdr:cNvPr id="737" name="AutoShape 170" descr="+">
          <a:extLst>
            <a:ext uri="{FF2B5EF4-FFF2-40B4-BE49-F238E27FC236}">
              <a16:creationId xmlns:a16="http://schemas.microsoft.com/office/drawing/2014/main" id="{5B00D288-B6FA-4564-AD04-B039453A232A}"/>
            </a:ext>
          </a:extLst>
        </xdr:cNvPr>
        <xdr:cNvSpPr>
          <a:spLocks noChangeAspect="1" noChangeArrowheads="1"/>
        </xdr:cNvSpPr>
      </xdr:nvSpPr>
      <xdr:spPr bwMode="auto">
        <a:xfrm>
          <a:off x="1888435" y="4447761"/>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8468"/>
    <xdr:sp macro="" textlink="">
      <xdr:nvSpPr>
        <xdr:cNvPr id="738" name="AutoShape 171" descr="+">
          <a:extLst>
            <a:ext uri="{FF2B5EF4-FFF2-40B4-BE49-F238E27FC236}">
              <a16:creationId xmlns:a16="http://schemas.microsoft.com/office/drawing/2014/main" id="{22132AF6-E28E-47DF-ADF6-70AE8C20755F}"/>
            </a:ext>
          </a:extLst>
        </xdr:cNvPr>
        <xdr:cNvSpPr>
          <a:spLocks noChangeAspect="1" noChangeArrowheads="1"/>
        </xdr:cNvSpPr>
      </xdr:nvSpPr>
      <xdr:spPr bwMode="auto">
        <a:xfrm>
          <a:off x="1888435" y="4447761"/>
          <a:ext cx="304800" cy="308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8"/>
    <xdr:sp macro="" textlink="">
      <xdr:nvSpPr>
        <xdr:cNvPr id="739" name="AutoShape 172" descr="+">
          <a:extLst>
            <a:ext uri="{FF2B5EF4-FFF2-40B4-BE49-F238E27FC236}">
              <a16:creationId xmlns:a16="http://schemas.microsoft.com/office/drawing/2014/main" id="{97A5050A-8DEA-4355-A968-298D4B5B202C}"/>
            </a:ext>
          </a:extLst>
        </xdr:cNvPr>
        <xdr:cNvSpPr>
          <a:spLocks noChangeAspect="1" noChangeArrowheads="1"/>
        </xdr:cNvSpPr>
      </xdr:nvSpPr>
      <xdr:spPr bwMode="auto">
        <a:xfrm>
          <a:off x="1888435" y="4447761"/>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40" name="AutoShape 173" descr="+">
          <a:extLst>
            <a:ext uri="{FF2B5EF4-FFF2-40B4-BE49-F238E27FC236}">
              <a16:creationId xmlns:a16="http://schemas.microsoft.com/office/drawing/2014/main" id="{5F61B26B-C97B-4BE7-9821-C843FBC62389}"/>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3131"/>
    <xdr:sp macro="" textlink="">
      <xdr:nvSpPr>
        <xdr:cNvPr id="741" name="AutoShape 174" descr="+">
          <a:extLst>
            <a:ext uri="{FF2B5EF4-FFF2-40B4-BE49-F238E27FC236}">
              <a16:creationId xmlns:a16="http://schemas.microsoft.com/office/drawing/2014/main" id="{EF65D4D4-571B-46BD-96A8-6ADE97EA13C5}"/>
            </a:ext>
          </a:extLst>
        </xdr:cNvPr>
        <xdr:cNvSpPr>
          <a:spLocks noChangeAspect="1" noChangeArrowheads="1"/>
        </xdr:cNvSpPr>
      </xdr:nvSpPr>
      <xdr:spPr bwMode="auto">
        <a:xfrm>
          <a:off x="1888435" y="4447761"/>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42" name="AutoShape 175" descr="+">
          <a:extLst>
            <a:ext uri="{FF2B5EF4-FFF2-40B4-BE49-F238E27FC236}">
              <a16:creationId xmlns:a16="http://schemas.microsoft.com/office/drawing/2014/main" id="{EF2A91D3-2FFE-4AF0-96E7-77081210E433}"/>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743" name="AutoShape 176" descr="+">
          <a:extLst>
            <a:ext uri="{FF2B5EF4-FFF2-40B4-BE49-F238E27FC236}">
              <a16:creationId xmlns:a16="http://schemas.microsoft.com/office/drawing/2014/main" id="{D365F6C0-8D44-484A-B5BE-880B28BB1EE3}"/>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44" name="AutoShape 177" descr="+">
          <a:extLst>
            <a:ext uri="{FF2B5EF4-FFF2-40B4-BE49-F238E27FC236}">
              <a16:creationId xmlns:a16="http://schemas.microsoft.com/office/drawing/2014/main" id="{EF60C22D-EC83-4C00-8D8E-B84FDD10AAC5}"/>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45" name="AutoShape 178" descr="+">
          <a:extLst>
            <a:ext uri="{FF2B5EF4-FFF2-40B4-BE49-F238E27FC236}">
              <a16:creationId xmlns:a16="http://schemas.microsoft.com/office/drawing/2014/main" id="{85CB1963-83A0-47DE-9104-62C8C9DD58AF}"/>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46" name="AutoShape 179" descr="+">
          <a:extLst>
            <a:ext uri="{FF2B5EF4-FFF2-40B4-BE49-F238E27FC236}">
              <a16:creationId xmlns:a16="http://schemas.microsoft.com/office/drawing/2014/main" id="{DCCF5BDC-2CFD-4936-A9FB-D46A57623C55}"/>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2"/>
    <xdr:sp macro="" textlink="">
      <xdr:nvSpPr>
        <xdr:cNvPr id="747" name="AutoShape 180" descr="+">
          <a:extLst>
            <a:ext uri="{FF2B5EF4-FFF2-40B4-BE49-F238E27FC236}">
              <a16:creationId xmlns:a16="http://schemas.microsoft.com/office/drawing/2014/main" id="{259423BB-AC38-4C40-9455-F42D341A4ADE}"/>
            </a:ext>
          </a:extLst>
        </xdr:cNvPr>
        <xdr:cNvSpPr>
          <a:spLocks noChangeAspect="1" noChangeArrowheads="1"/>
        </xdr:cNvSpPr>
      </xdr:nvSpPr>
      <xdr:spPr bwMode="auto">
        <a:xfrm>
          <a:off x="1888435" y="4447761"/>
          <a:ext cx="304800" cy="1914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8"/>
    <xdr:sp macro="" textlink="">
      <xdr:nvSpPr>
        <xdr:cNvPr id="748" name="AutoShape 181" descr="+">
          <a:extLst>
            <a:ext uri="{FF2B5EF4-FFF2-40B4-BE49-F238E27FC236}">
              <a16:creationId xmlns:a16="http://schemas.microsoft.com/office/drawing/2014/main" id="{B1612489-857A-41AC-B2A5-FEF87240A1AC}"/>
            </a:ext>
          </a:extLst>
        </xdr:cNvPr>
        <xdr:cNvSpPr>
          <a:spLocks noChangeAspect="1" noChangeArrowheads="1"/>
        </xdr:cNvSpPr>
      </xdr:nvSpPr>
      <xdr:spPr bwMode="auto">
        <a:xfrm>
          <a:off x="1888435" y="4447761"/>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9501"/>
    <xdr:sp macro="" textlink="">
      <xdr:nvSpPr>
        <xdr:cNvPr id="749" name="AutoShape 182" descr="+">
          <a:extLst>
            <a:ext uri="{FF2B5EF4-FFF2-40B4-BE49-F238E27FC236}">
              <a16:creationId xmlns:a16="http://schemas.microsoft.com/office/drawing/2014/main" id="{FE8AFCD2-4C1F-40BB-AE67-31D373DCFD19}"/>
            </a:ext>
          </a:extLst>
        </xdr:cNvPr>
        <xdr:cNvSpPr>
          <a:spLocks noChangeAspect="1" noChangeArrowheads="1"/>
        </xdr:cNvSpPr>
      </xdr:nvSpPr>
      <xdr:spPr bwMode="auto">
        <a:xfrm>
          <a:off x="1888435" y="4447761"/>
          <a:ext cx="304800" cy="309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50" name="AutoShape 183" descr="+">
          <a:extLst>
            <a:ext uri="{FF2B5EF4-FFF2-40B4-BE49-F238E27FC236}">
              <a16:creationId xmlns:a16="http://schemas.microsoft.com/office/drawing/2014/main" id="{C0EF9D2D-C801-4484-9AA5-42FB6A17E8B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51" name="AutoShape 184" descr="+">
          <a:extLst>
            <a:ext uri="{FF2B5EF4-FFF2-40B4-BE49-F238E27FC236}">
              <a16:creationId xmlns:a16="http://schemas.microsoft.com/office/drawing/2014/main" id="{ECF83FD0-1672-4B61-809F-BD5A15F3EC3F}"/>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9"/>
    <xdr:sp macro="" textlink="">
      <xdr:nvSpPr>
        <xdr:cNvPr id="752" name="AutoShape 185" descr="+">
          <a:extLst>
            <a:ext uri="{FF2B5EF4-FFF2-40B4-BE49-F238E27FC236}">
              <a16:creationId xmlns:a16="http://schemas.microsoft.com/office/drawing/2014/main" id="{29FD477C-7F47-4CFF-85CD-5D60054EA5EC}"/>
            </a:ext>
          </a:extLst>
        </xdr:cNvPr>
        <xdr:cNvSpPr>
          <a:spLocks noChangeAspect="1" noChangeArrowheads="1"/>
        </xdr:cNvSpPr>
      </xdr:nvSpPr>
      <xdr:spPr bwMode="auto">
        <a:xfrm>
          <a:off x="1888435" y="4447761"/>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753" name="AutoShape 186" descr="+">
          <a:extLst>
            <a:ext uri="{FF2B5EF4-FFF2-40B4-BE49-F238E27FC236}">
              <a16:creationId xmlns:a16="http://schemas.microsoft.com/office/drawing/2014/main" id="{B990E30C-4912-4628-A718-D1D9A7453B9A}"/>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54" name="AutoShape 187" descr="+">
          <a:extLst>
            <a:ext uri="{FF2B5EF4-FFF2-40B4-BE49-F238E27FC236}">
              <a16:creationId xmlns:a16="http://schemas.microsoft.com/office/drawing/2014/main" id="{50B161B0-35FA-4A81-BA1A-E3260497FDB6}"/>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755" name="AutoShape 188" descr="+">
          <a:extLst>
            <a:ext uri="{FF2B5EF4-FFF2-40B4-BE49-F238E27FC236}">
              <a16:creationId xmlns:a16="http://schemas.microsoft.com/office/drawing/2014/main" id="{A3D4DD3B-4D1A-45A6-A6C8-5FFD1C61A50F}"/>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56" name="AutoShape 189" descr="+">
          <a:extLst>
            <a:ext uri="{FF2B5EF4-FFF2-40B4-BE49-F238E27FC236}">
              <a16:creationId xmlns:a16="http://schemas.microsoft.com/office/drawing/2014/main" id="{B9E16324-9851-4A25-8B84-BCB29F52C2DD}"/>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2409"/>
    <xdr:sp macro="" textlink="">
      <xdr:nvSpPr>
        <xdr:cNvPr id="757" name="AutoShape 190" descr="+">
          <a:extLst>
            <a:ext uri="{FF2B5EF4-FFF2-40B4-BE49-F238E27FC236}">
              <a16:creationId xmlns:a16="http://schemas.microsoft.com/office/drawing/2014/main" id="{D4EC29FE-68F5-435C-9F85-626BEA3213C5}"/>
            </a:ext>
          </a:extLst>
        </xdr:cNvPr>
        <xdr:cNvSpPr>
          <a:spLocks noChangeAspect="1" noChangeArrowheads="1"/>
        </xdr:cNvSpPr>
      </xdr:nvSpPr>
      <xdr:spPr bwMode="auto">
        <a:xfrm>
          <a:off x="1888435" y="4447761"/>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58" name="AutoShape 191" descr="+">
          <a:extLst>
            <a:ext uri="{FF2B5EF4-FFF2-40B4-BE49-F238E27FC236}">
              <a16:creationId xmlns:a16="http://schemas.microsoft.com/office/drawing/2014/main" id="{98B89A05-4667-4F75-9883-30ED699177A9}"/>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759" name="AutoShape 192" descr="+">
          <a:extLst>
            <a:ext uri="{FF2B5EF4-FFF2-40B4-BE49-F238E27FC236}">
              <a16:creationId xmlns:a16="http://schemas.microsoft.com/office/drawing/2014/main" id="{12992BA3-FD4B-442D-8808-247BBB5956A7}"/>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60" name="AutoShape 193" descr="+">
          <a:extLst>
            <a:ext uri="{FF2B5EF4-FFF2-40B4-BE49-F238E27FC236}">
              <a16:creationId xmlns:a16="http://schemas.microsoft.com/office/drawing/2014/main" id="{A6A2B73B-9579-4177-B1A0-AFA76A1321A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61" name="AutoShape 194" descr="+">
          <a:extLst>
            <a:ext uri="{FF2B5EF4-FFF2-40B4-BE49-F238E27FC236}">
              <a16:creationId xmlns:a16="http://schemas.microsoft.com/office/drawing/2014/main" id="{3D8EED2A-B1E2-4836-A1D8-929404EA2EF2}"/>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6"/>
    <xdr:sp macro="" textlink="">
      <xdr:nvSpPr>
        <xdr:cNvPr id="762" name="AutoShape 195" descr="+">
          <a:extLst>
            <a:ext uri="{FF2B5EF4-FFF2-40B4-BE49-F238E27FC236}">
              <a16:creationId xmlns:a16="http://schemas.microsoft.com/office/drawing/2014/main" id="{CBC3E550-4D8A-4235-A913-FE73D6D56854}"/>
            </a:ext>
          </a:extLst>
        </xdr:cNvPr>
        <xdr:cNvSpPr>
          <a:spLocks noChangeAspect="1" noChangeArrowheads="1"/>
        </xdr:cNvSpPr>
      </xdr:nvSpPr>
      <xdr:spPr bwMode="auto">
        <a:xfrm>
          <a:off x="1888435" y="4447761"/>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4"/>
    <xdr:sp macro="" textlink="">
      <xdr:nvSpPr>
        <xdr:cNvPr id="763" name="AutoShape 196" descr="+">
          <a:extLst>
            <a:ext uri="{FF2B5EF4-FFF2-40B4-BE49-F238E27FC236}">
              <a16:creationId xmlns:a16="http://schemas.microsoft.com/office/drawing/2014/main" id="{8033B463-EF9E-438A-A973-0A175A77E40D}"/>
            </a:ext>
          </a:extLst>
        </xdr:cNvPr>
        <xdr:cNvSpPr>
          <a:spLocks noChangeAspect="1" noChangeArrowheads="1"/>
        </xdr:cNvSpPr>
      </xdr:nvSpPr>
      <xdr:spPr bwMode="auto">
        <a:xfrm>
          <a:off x="1888435" y="4447761"/>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5"/>
    <xdr:sp macro="" textlink="">
      <xdr:nvSpPr>
        <xdr:cNvPr id="764" name="AutoShape 197" descr="+">
          <a:extLst>
            <a:ext uri="{FF2B5EF4-FFF2-40B4-BE49-F238E27FC236}">
              <a16:creationId xmlns:a16="http://schemas.microsoft.com/office/drawing/2014/main" id="{AF745DD8-E072-41F2-8A40-0555CDEFEFF5}"/>
            </a:ext>
          </a:extLst>
        </xdr:cNvPr>
        <xdr:cNvSpPr>
          <a:spLocks noChangeAspect="1" noChangeArrowheads="1"/>
        </xdr:cNvSpPr>
      </xdr:nvSpPr>
      <xdr:spPr bwMode="auto">
        <a:xfrm>
          <a:off x="1888435" y="4447761"/>
          <a:ext cx="304800" cy="304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65" name="AutoShape 198" descr="+">
          <a:extLst>
            <a:ext uri="{FF2B5EF4-FFF2-40B4-BE49-F238E27FC236}">
              <a16:creationId xmlns:a16="http://schemas.microsoft.com/office/drawing/2014/main" id="{7FCCE498-0155-4F3A-BF73-79DA3E4066B6}"/>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2"/>
    <xdr:sp macro="" textlink="">
      <xdr:nvSpPr>
        <xdr:cNvPr id="766" name="AutoShape 199" descr="+">
          <a:extLst>
            <a:ext uri="{FF2B5EF4-FFF2-40B4-BE49-F238E27FC236}">
              <a16:creationId xmlns:a16="http://schemas.microsoft.com/office/drawing/2014/main" id="{810CBB9E-F788-476F-80B4-36F8C4CD6F9A}"/>
            </a:ext>
          </a:extLst>
        </xdr:cNvPr>
        <xdr:cNvSpPr>
          <a:spLocks noChangeAspect="1" noChangeArrowheads="1"/>
        </xdr:cNvSpPr>
      </xdr:nvSpPr>
      <xdr:spPr bwMode="auto">
        <a:xfrm>
          <a:off x="1888435" y="4447761"/>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3470"/>
    <xdr:sp macro="" textlink="">
      <xdr:nvSpPr>
        <xdr:cNvPr id="767" name="AutoShape 200" descr="+">
          <a:extLst>
            <a:ext uri="{FF2B5EF4-FFF2-40B4-BE49-F238E27FC236}">
              <a16:creationId xmlns:a16="http://schemas.microsoft.com/office/drawing/2014/main" id="{C1963F40-1899-4F07-890C-E4D0F9082582}"/>
            </a:ext>
          </a:extLst>
        </xdr:cNvPr>
        <xdr:cNvSpPr>
          <a:spLocks noChangeAspect="1" noChangeArrowheads="1"/>
        </xdr:cNvSpPr>
      </xdr:nvSpPr>
      <xdr:spPr bwMode="auto">
        <a:xfrm>
          <a:off x="1888435" y="4447761"/>
          <a:ext cx="304800" cy="183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68" name="AutoShape 201" descr="+">
          <a:extLst>
            <a:ext uri="{FF2B5EF4-FFF2-40B4-BE49-F238E27FC236}">
              <a16:creationId xmlns:a16="http://schemas.microsoft.com/office/drawing/2014/main" id="{F93D9AE1-D90B-4897-A7E7-02B60F9A66FC}"/>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69" name="AutoShape 202" descr="+">
          <a:extLst>
            <a:ext uri="{FF2B5EF4-FFF2-40B4-BE49-F238E27FC236}">
              <a16:creationId xmlns:a16="http://schemas.microsoft.com/office/drawing/2014/main" id="{51657C78-1453-435C-BAC1-925973F0FB9E}"/>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70" name="AutoShape 203" descr="+">
          <a:extLst>
            <a:ext uri="{FF2B5EF4-FFF2-40B4-BE49-F238E27FC236}">
              <a16:creationId xmlns:a16="http://schemas.microsoft.com/office/drawing/2014/main" id="{B7732B5A-1DB2-4D23-AFED-F65FD14DDC13}"/>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71" name="AutoShape 204" descr="+">
          <a:extLst>
            <a:ext uri="{FF2B5EF4-FFF2-40B4-BE49-F238E27FC236}">
              <a16:creationId xmlns:a16="http://schemas.microsoft.com/office/drawing/2014/main" id="{95ED2CC6-29D2-4843-8998-F00D49218C81}"/>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72" name="AutoShape 205" descr="+">
          <a:extLst>
            <a:ext uri="{FF2B5EF4-FFF2-40B4-BE49-F238E27FC236}">
              <a16:creationId xmlns:a16="http://schemas.microsoft.com/office/drawing/2014/main" id="{DF51AC23-BC85-49B1-802A-52E6C3A4DF02}"/>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73" name="AutoShape 206" descr="+">
          <a:extLst>
            <a:ext uri="{FF2B5EF4-FFF2-40B4-BE49-F238E27FC236}">
              <a16:creationId xmlns:a16="http://schemas.microsoft.com/office/drawing/2014/main" id="{6900CBCE-9267-4F20-8F10-4BB9C33769F1}"/>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7"/>
    <xdr:sp macro="" textlink="">
      <xdr:nvSpPr>
        <xdr:cNvPr id="774" name="AutoShape 207" descr="+">
          <a:extLst>
            <a:ext uri="{FF2B5EF4-FFF2-40B4-BE49-F238E27FC236}">
              <a16:creationId xmlns:a16="http://schemas.microsoft.com/office/drawing/2014/main" id="{E9926547-A931-4C7F-A62D-F9FBB92BB63A}"/>
            </a:ext>
          </a:extLst>
        </xdr:cNvPr>
        <xdr:cNvSpPr>
          <a:spLocks noChangeAspect="1" noChangeArrowheads="1"/>
        </xdr:cNvSpPr>
      </xdr:nvSpPr>
      <xdr:spPr bwMode="auto">
        <a:xfrm>
          <a:off x="1888435" y="4447761"/>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75" name="AutoShape 208" descr="+">
          <a:extLst>
            <a:ext uri="{FF2B5EF4-FFF2-40B4-BE49-F238E27FC236}">
              <a16:creationId xmlns:a16="http://schemas.microsoft.com/office/drawing/2014/main" id="{E568AF0E-F61F-448C-8E69-0818BC3F2BD7}"/>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776" name="AutoShape 209" descr="+">
          <a:extLst>
            <a:ext uri="{FF2B5EF4-FFF2-40B4-BE49-F238E27FC236}">
              <a16:creationId xmlns:a16="http://schemas.microsoft.com/office/drawing/2014/main" id="{8F1DBC22-4352-462D-AC92-9ECF9093EEEE}"/>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1"/>
    <xdr:sp macro="" textlink="">
      <xdr:nvSpPr>
        <xdr:cNvPr id="777" name="AutoShape 210" descr="+">
          <a:extLst>
            <a:ext uri="{FF2B5EF4-FFF2-40B4-BE49-F238E27FC236}">
              <a16:creationId xmlns:a16="http://schemas.microsoft.com/office/drawing/2014/main" id="{B19D7DC6-7994-4D9E-870B-7AF7FA9CB657}"/>
            </a:ext>
          </a:extLst>
        </xdr:cNvPr>
        <xdr:cNvSpPr>
          <a:spLocks noChangeAspect="1" noChangeArrowheads="1"/>
        </xdr:cNvSpPr>
      </xdr:nvSpPr>
      <xdr:spPr bwMode="auto">
        <a:xfrm>
          <a:off x="1888435" y="4447761"/>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5"/>
    <xdr:sp macro="" textlink="">
      <xdr:nvSpPr>
        <xdr:cNvPr id="778" name="AutoShape 211" descr="+">
          <a:extLst>
            <a:ext uri="{FF2B5EF4-FFF2-40B4-BE49-F238E27FC236}">
              <a16:creationId xmlns:a16="http://schemas.microsoft.com/office/drawing/2014/main" id="{CECC9D35-C878-4F00-B77A-36C0F4564AC1}"/>
            </a:ext>
          </a:extLst>
        </xdr:cNvPr>
        <xdr:cNvSpPr>
          <a:spLocks noChangeAspect="1" noChangeArrowheads="1"/>
        </xdr:cNvSpPr>
      </xdr:nvSpPr>
      <xdr:spPr bwMode="auto">
        <a:xfrm>
          <a:off x="1888435" y="4447761"/>
          <a:ext cx="304800" cy="304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76415"/>
    <xdr:sp macro="" textlink="">
      <xdr:nvSpPr>
        <xdr:cNvPr id="779" name="AutoShape 212" descr="+">
          <a:extLst>
            <a:ext uri="{FF2B5EF4-FFF2-40B4-BE49-F238E27FC236}">
              <a16:creationId xmlns:a16="http://schemas.microsoft.com/office/drawing/2014/main" id="{12BC5506-D1DB-4233-885F-E6D0DCE57E75}"/>
            </a:ext>
          </a:extLst>
        </xdr:cNvPr>
        <xdr:cNvSpPr>
          <a:spLocks noChangeAspect="1" noChangeArrowheads="1"/>
        </xdr:cNvSpPr>
      </xdr:nvSpPr>
      <xdr:spPr bwMode="auto">
        <a:xfrm>
          <a:off x="1888435" y="4447761"/>
          <a:ext cx="304800" cy="2764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3131"/>
    <xdr:sp macro="" textlink="">
      <xdr:nvSpPr>
        <xdr:cNvPr id="780" name="AutoShape 213" descr="+">
          <a:extLst>
            <a:ext uri="{FF2B5EF4-FFF2-40B4-BE49-F238E27FC236}">
              <a16:creationId xmlns:a16="http://schemas.microsoft.com/office/drawing/2014/main" id="{21F1D34F-C701-46F4-A389-FDA6D54978A3}"/>
            </a:ext>
          </a:extLst>
        </xdr:cNvPr>
        <xdr:cNvSpPr>
          <a:spLocks noChangeAspect="1" noChangeArrowheads="1"/>
        </xdr:cNvSpPr>
      </xdr:nvSpPr>
      <xdr:spPr bwMode="auto">
        <a:xfrm>
          <a:off x="1888435" y="4447761"/>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81" name="AutoShape 214" descr="+">
          <a:extLst>
            <a:ext uri="{FF2B5EF4-FFF2-40B4-BE49-F238E27FC236}">
              <a16:creationId xmlns:a16="http://schemas.microsoft.com/office/drawing/2014/main" id="{E4F0B1A7-9920-4BDB-BF7E-AB9CD70735F8}"/>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82" name="AutoShape 215" descr="+">
          <a:extLst>
            <a:ext uri="{FF2B5EF4-FFF2-40B4-BE49-F238E27FC236}">
              <a16:creationId xmlns:a16="http://schemas.microsoft.com/office/drawing/2014/main" id="{5169B0D3-8B0C-4808-838C-5B21F5B4260C}"/>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3090"/>
    <xdr:sp macro="" textlink="">
      <xdr:nvSpPr>
        <xdr:cNvPr id="783" name="AutoShape 216" descr="+">
          <a:extLst>
            <a:ext uri="{FF2B5EF4-FFF2-40B4-BE49-F238E27FC236}">
              <a16:creationId xmlns:a16="http://schemas.microsoft.com/office/drawing/2014/main" id="{19DF9D06-FA8B-4FFB-89E9-CF6DF149844D}"/>
            </a:ext>
          </a:extLst>
        </xdr:cNvPr>
        <xdr:cNvSpPr>
          <a:spLocks noChangeAspect="1" noChangeArrowheads="1"/>
        </xdr:cNvSpPr>
      </xdr:nvSpPr>
      <xdr:spPr bwMode="auto">
        <a:xfrm>
          <a:off x="1888435" y="4447761"/>
          <a:ext cx="304800" cy="203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84" name="AutoShape 217" descr="+">
          <a:extLst>
            <a:ext uri="{FF2B5EF4-FFF2-40B4-BE49-F238E27FC236}">
              <a16:creationId xmlns:a16="http://schemas.microsoft.com/office/drawing/2014/main" id="{1B7BE7AC-AEA2-47E1-941B-5474F658969E}"/>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85" name="AutoShape 218" descr="+">
          <a:extLst>
            <a:ext uri="{FF2B5EF4-FFF2-40B4-BE49-F238E27FC236}">
              <a16:creationId xmlns:a16="http://schemas.microsoft.com/office/drawing/2014/main" id="{00DA34D3-7AE4-4866-B5A6-D55631B396E4}"/>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7"/>
    <xdr:sp macro="" textlink="">
      <xdr:nvSpPr>
        <xdr:cNvPr id="786" name="AutoShape 219" descr="+">
          <a:extLst>
            <a:ext uri="{FF2B5EF4-FFF2-40B4-BE49-F238E27FC236}">
              <a16:creationId xmlns:a16="http://schemas.microsoft.com/office/drawing/2014/main" id="{9D6BCB99-4B46-4A61-B24D-8C4E4BA59C5F}"/>
            </a:ext>
          </a:extLst>
        </xdr:cNvPr>
        <xdr:cNvSpPr>
          <a:spLocks noChangeAspect="1" noChangeArrowheads="1"/>
        </xdr:cNvSpPr>
      </xdr:nvSpPr>
      <xdr:spPr bwMode="auto">
        <a:xfrm>
          <a:off x="1888435" y="4447761"/>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87" name="AutoShape 220" descr="+">
          <a:extLst>
            <a:ext uri="{FF2B5EF4-FFF2-40B4-BE49-F238E27FC236}">
              <a16:creationId xmlns:a16="http://schemas.microsoft.com/office/drawing/2014/main" id="{D4DD73BA-2C25-47F3-8343-D3F972781C55}"/>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88" name="AutoShape 221" descr="+">
          <a:extLst>
            <a:ext uri="{FF2B5EF4-FFF2-40B4-BE49-F238E27FC236}">
              <a16:creationId xmlns:a16="http://schemas.microsoft.com/office/drawing/2014/main" id="{BAEE61CA-BD43-4D83-919F-D449AB7C403E}"/>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89" name="AutoShape 222" descr="+">
          <a:extLst>
            <a:ext uri="{FF2B5EF4-FFF2-40B4-BE49-F238E27FC236}">
              <a16:creationId xmlns:a16="http://schemas.microsoft.com/office/drawing/2014/main" id="{F6F50193-B16F-4B5C-B4C7-185387A8A69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90" name="AutoShape 223" descr="+">
          <a:extLst>
            <a:ext uri="{FF2B5EF4-FFF2-40B4-BE49-F238E27FC236}">
              <a16:creationId xmlns:a16="http://schemas.microsoft.com/office/drawing/2014/main" id="{DDCBFE3C-B9E1-43E6-8B4C-DAB7801D55DB}"/>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91" name="AutoShape 224" descr="+">
          <a:extLst>
            <a:ext uri="{FF2B5EF4-FFF2-40B4-BE49-F238E27FC236}">
              <a16:creationId xmlns:a16="http://schemas.microsoft.com/office/drawing/2014/main" id="{3518092D-17E1-46F4-85EF-C2AE6C4E498D}"/>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0"/>
    <xdr:sp macro="" textlink="">
      <xdr:nvSpPr>
        <xdr:cNvPr id="792" name="AutoShape 225" descr="+">
          <a:extLst>
            <a:ext uri="{FF2B5EF4-FFF2-40B4-BE49-F238E27FC236}">
              <a16:creationId xmlns:a16="http://schemas.microsoft.com/office/drawing/2014/main" id="{F101B514-968B-4475-8BEB-44EBBEA1AD20}"/>
            </a:ext>
          </a:extLst>
        </xdr:cNvPr>
        <xdr:cNvSpPr>
          <a:spLocks noChangeAspect="1" noChangeArrowheads="1"/>
        </xdr:cNvSpPr>
      </xdr:nvSpPr>
      <xdr:spPr bwMode="auto">
        <a:xfrm>
          <a:off x="1888435" y="4447761"/>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7"/>
    <xdr:sp macro="" textlink="">
      <xdr:nvSpPr>
        <xdr:cNvPr id="793" name="AutoShape 226" descr="+">
          <a:extLst>
            <a:ext uri="{FF2B5EF4-FFF2-40B4-BE49-F238E27FC236}">
              <a16:creationId xmlns:a16="http://schemas.microsoft.com/office/drawing/2014/main" id="{F7C92495-A6CF-456D-9E1B-53312F7079CD}"/>
            </a:ext>
          </a:extLst>
        </xdr:cNvPr>
        <xdr:cNvSpPr>
          <a:spLocks noChangeAspect="1" noChangeArrowheads="1"/>
        </xdr:cNvSpPr>
      </xdr:nvSpPr>
      <xdr:spPr bwMode="auto">
        <a:xfrm>
          <a:off x="1888435" y="4447761"/>
          <a:ext cx="304800" cy="3043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94" name="AutoShape 227" descr="+">
          <a:extLst>
            <a:ext uri="{FF2B5EF4-FFF2-40B4-BE49-F238E27FC236}">
              <a16:creationId xmlns:a16="http://schemas.microsoft.com/office/drawing/2014/main" id="{31B7A1F9-9BAA-4CCC-B3C3-34D310D992EE}"/>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95" name="AutoShape 228" descr="+">
          <a:extLst>
            <a:ext uri="{FF2B5EF4-FFF2-40B4-BE49-F238E27FC236}">
              <a16:creationId xmlns:a16="http://schemas.microsoft.com/office/drawing/2014/main" id="{BCDC052C-47C9-45F4-8237-E84A17D35A0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6064"/>
    <xdr:sp macro="" textlink="">
      <xdr:nvSpPr>
        <xdr:cNvPr id="796" name="AutoShape 229" descr="+">
          <a:extLst>
            <a:ext uri="{FF2B5EF4-FFF2-40B4-BE49-F238E27FC236}">
              <a16:creationId xmlns:a16="http://schemas.microsoft.com/office/drawing/2014/main" id="{E323B40C-8885-4DE9-87A0-DD4A5C9635F4}"/>
            </a:ext>
          </a:extLst>
        </xdr:cNvPr>
        <xdr:cNvSpPr>
          <a:spLocks noChangeAspect="1" noChangeArrowheads="1"/>
        </xdr:cNvSpPr>
      </xdr:nvSpPr>
      <xdr:spPr bwMode="auto">
        <a:xfrm>
          <a:off x="1888435" y="4447761"/>
          <a:ext cx="304800" cy="30606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6"/>
    <xdr:sp macro="" textlink="">
      <xdr:nvSpPr>
        <xdr:cNvPr id="797" name="AutoShape 230" descr="+">
          <a:extLst>
            <a:ext uri="{FF2B5EF4-FFF2-40B4-BE49-F238E27FC236}">
              <a16:creationId xmlns:a16="http://schemas.microsoft.com/office/drawing/2014/main" id="{62F1CC39-8DAA-4E04-AC97-C04B0D03F3E1}"/>
            </a:ext>
          </a:extLst>
        </xdr:cNvPr>
        <xdr:cNvSpPr>
          <a:spLocks noChangeAspect="1" noChangeArrowheads="1"/>
        </xdr:cNvSpPr>
      </xdr:nvSpPr>
      <xdr:spPr bwMode="auto">
        <a:xfrm>
          <a:off x="1888435" y="4447761"/>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98" name="AutoShape 231" descr="+">
          <a:extLst>
            <a:ext uri="{FF2B5EF4-FFF2-40B4-BE49-F238E27FC236}">
              <a16:creationId xmlns:a16="http://schemas.microsoft.com/office/drawing/2014/main" id="{F688E6CC-5E5D-4BE8-849A-5D012C658F0F}"/>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799" name="AutoShape 232" descr="+">
          <a:extLst>
            <a:ext uri="{FF2B5EF4-FFF2-40B4-BE49-F238E27FC236}">
              <a16:creationId xmlns:a16="http://schemas.microsoft.com/office/drawing/2014/main" id="{4869907B-F47F-4E27-9C90-F0BB29894531}"/>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800" name="AutoShape 233" descr="+">
          <a:extLst>
            <a:ext uri="{FF2B5EF4-FFF2-40B4-BE49-F238E27FC236}">
              <a16:creationId xmlns:a16="http://schemas.microsoft.com/office/drawing/2014/main" id="{2D020F05-C16D-4BEC-94F1-D4AEB19A3B6F}"/>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01" name="AutoShape 234" descr="+">
          <a:extLst>
            <a:ext uri="{FF2B5EF4-FFF2-40B4-BE49-F238E27FC236}">
              <a16:creationId xmlns:a16="http://schemas.microsoft.com/office/drawing/2014/main" id="{789FD3EB-997A-43E4-B09A-FFE60D23C22A}"/>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02" name="AutoShape 235" descr="+">
          <a:extLst>
            <a:ext uri="{FF2B5EF4-FFF2-40B4-BE49-F238E27FC236}">
              <a16:creationId xmlns:a16="http://schemas.microsoft.com/office/drawing/2014/main" id="{EA7A87DC-C39C-4478-9550-57CFD3F4D0E8}"/>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03" name="AutoShape 236" descr="+">
          <a:extLst>
            <a:ext uri="{FF2B5EF4-FFF2-40B4-BE49-F238E27FC236}">
              <a16:creationId xmlns:a16="http://schemas.microsoft.com/office/drawing/2014/main" id="{F83252BC-A986-4A47-AC20-85A5D1A23D5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804" name="AutoShape 237" descr="+">
          <a:extLst>
            <a:ext uri="{FF2B5EF4-FFF2-40B4-BE49-F238E27FC236}">
              <a16:creationId xmlns:a16="http://schemas.microsoft.com/office/drawing/2014/main" id="{4E651C80-B0D3-4412-ADCA-CB65867244DE}"/>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4"/>
    <xdr:sp macro="" textlink="">
      <xdr:nvSpPr>
        <xdr:cNvPr id="805" name="AutoShape 238" descr="+">
          <a:extLst>
            <a:ext uri="{FF2B5EF4-FFF2-40B4-BE49-F238E27FC236}">
              <a16:creationId xmlns:a16="http://schemas.microsoft.com/office/drawing/2014/main" id="{F8FF169F-3031-45C9-B51F-FB85C7519998}"/>
            </a:ext>
          </a:extLst>
        </xdr:cNvPr>
        <xdr:cNvSpPr>
          <a:spLocks noChangeAspect="1" noChangeArrowheads="1"/>
        </xdr:cNvSpPr>
      </xdr:nvSpPr>
      <xdr:spPr bwMode="auto">
        <a:xfrm>
          <a:off x="1888435" y="4447761"/>
          <a:ext cx="304800" cy="2105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06" name="AutoShape 239" descr="+">
          <a:extLst>
            <a:ext uri="{FF2B5EF4-FFF2-40B4-BE49-F238E27FC236}">
              <a16:creationId xmlns:a16="http://schemas.microsoft.com/office/drawing/2014/main" id="{2FC60200-C22A-4AEE-869E-537523400FA1}"/>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07" name="AutoShape 240" descr="+">
          <a:extLst>
            <a:ext uri="{FF2B5EF4-FFF2-40B4-BE49-F238E27FC236}">
              <a16:creationId xmlns:a16="http://schemas.microsoft.com/office/drawing/2014/main" id="{8BD1FF4F-ECA4-4147-AB4B-77CE40F97A97}"/>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08" name="AutoShape 241" descr="+">
          <a:extLst>
            <a:ext uri="{FF2B5EF4-FFF2-40B4-BE49-F238E27FC236}">
              <a16:creationId xmlns:a16="http://schemas.microsoft.com/office/drawing/2014/main" id="{E1DE3EEA-6733-4782-859E-BB1B2AF3B943}"/>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8"/>
    <xdr:sp macro="" textlink="">
      <xdr:nvSpPr>
        <xdr:cNvPr id="809" name="AutoShape 242" descr="+">
          <a:extLst>
            <a:ext uri="{FF2B5EF4-FFF2-40B4-BE49-F238E27FC236}">
              <a16:creationId xmlns:a16="http://schemas.microsoft.com/office/drawing/2014/main" id="{AEF14AD8-D694-4412-87E4-10A022F614BF}"/>
            </a:ext>
          </a:extLst>
        </xdr:cNvPr>
        <xdr:cNvSpPr>
          <a:spLocks noChangeAspect="1" noChangeArrowheads="1"/>
        </xdr:cNvSpPr>
      </xdr:nvSpPr>
      <xdr:spPr bwMode="auto">
        <a:xfrm>
          <a:off x="1888435" y="4447761"/>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10" name="AutoShape 243" descr="+">
          <a:extLst>
            <a:ext uri="{FF2B5EF4-FFF2-40B4-BE49-F238E27FC236}">
              <a16:creationId xmlns:a16="http://schemas.microsoft.com/office/drawing/2014/main" id="{6FC35319-140E-46F5-B2A6-A227D7484BAC}"/>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11" name="AutoShape 244" descr="+">
          <a:extLst>
            <a:ext uri="{FF2B5EF4-FFF2-40B4-BE49-F238E27FC236}">
              <a16:creationId xmlns:a16="http://schemas.microsoft.com/office/drawing/2014/main" id="{AD18408B-C31A-4E0E-BE32-675D52B350CA}"/>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12" name="AutoShape 245" descr="+">
          <a:extLst>
            <a:ext uri="{FF2B5EF4-FFF2-40B4-BE49-F238E27FC236}">
              <a16:creationId xmlns:a16="http://schemas.microsoft.com/office/drawing/2014/main" id="{1047EB9E-C53E-4DA0-9912-1EF067DED69C}"/>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813" name="AutoShape 246" descr="+">
          <a:extLst>
            <a:ext uri="{FF2B5EF4-FFF2-40B4-BE49-F238E27FC236}">
              <a16:creationId xmlns:a16="http://schemas.microsoft.com/office/drawing/2014/main" id="{4AD39705-099A-4332-BA35-5710F6AAE0E2}"/>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14" name="AutoShape 247" descr="+">
          <a:extLst>
            <a:ext uri="{FF2B5EF4-FFF2-40B4-BE49-F238E27FC236}">
              <a16:creationId xmlns:a16="http://schemas.microsoft.com/office/drawing/2014/main" id="{80C4952E-46C5-4B2C-9F6B-AC86C5D52812}"/>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815" name="AutoShape 248" descr="+">
          <a:extLst>
            <a:ext uri="{FF2B5EF4-FFF2-40B4-BE49-F238E27FC236}">
              <a16:creationId xmlns:a16="http://schemas.microsoft.com/office/drawing/2014/main" id="{9B84A0B6-0E68-4150-A162-315AEEBB1A5D}"/>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16" name="AutoShape 249" descr="+">
          <a:extLst>
            <a:ext uri="{FF2B5EF4-FFF2-40B4-BE49-F238E27FC236}">
              <a16:creationId xmlns:a16="http://schemas.microsoft.com/office/drawing/2014/main" id="{6947233B-C78B-4B81-9CAB-6DF975A4B4DF}"/>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17" name="AutoShape 250" descr="+">
          <a:extLst>
            <a:ext uri="{FF2B5EF4-FFF2-40B4-BE49-F238E27FC236}">
              <a16:creationId xmlns:a16="http://schemas.microsoft.com/office/drawing/2014/main" id="{86DD72AF-2895-422C-94FB-2DB850999491}"/>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18" name="AutoShape 251" descr="+">
          <a:extLst>
            <a:ext uri="{FF2B5EF4-FFF2-40B4-BE49-F238E27FC236}">
              <a16:creationId xmlns:a16="http://schemas.microsoft.com/office/drawing/2014/main" id="{AF0DF95A-FA7B-4C02-A65E-E23994C5F418}"/>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19" name="AutoShape 252" descr="+">
          <a:extLst>
            <a:ext uri="{FF2B5EF4-FFF2-40B4-BE49-F238E27FC236}">
              <a16:creationId xmlns:a16="http://schemas.microsoft.com/office/drawing/2014/main" id="{D233F90A-613F-4A2E-8D45-49EC7B1A5457}"/>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7"/>
    <xdr:sp macro="" textlink="">
      <xdr:nvSpPr>
        <xdr:cNvPr id="820" name="AutoShape 253" descr="+">
          <a:extLst>
            <a:ext uri="{FF2B5EF4-FFF2-40B4-BE49-F238E27FC236}">
              <a16:creationId xmlns:a16="http://schemas.microsoft.com/office/drawing/2014/main" id="{77FBC763-0145-4AF1-B292-9FD8449B5C1A}"/>
            </a:ext>
          </a:extLst>
        </xdr:cNvPr>
        <xdr:cNvSpPr>
          <a:spLocks noChangeAspect="1" noChangeArrowheads="1"/>
        </xdr:cNvSpPr>
      </xdr:nvSpPr>
      <xdr:spPr bwMode="auto">
        <a:xfrm>
          <a:off x="1888435" y="4447761"/>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21" name="AutoShape 254" descr="+">
          <a:extLst>
            <a:ext uri="{FF2B5EF4-FFF2-40B4-BE49-F238E27FC236}">
              <a16:creationId xmlns:a16="http://schemas.microsoft.com/office/drawing/2014/main" id="{BE927A75-BD10-42BF-A690-71DF70BFCC3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22" name="AutoShape 255" descr="+">
          <a:extLst>
            <a:ext uri="{FF2B5EF4-FFF2-40B4-BE49-F238E27FC236}">
              <a16:creationId xmlns:a16="http://schemas.microsoft.com/office/drawing/2014/main" id="{993FEB7A-308C-49C0-B256-5783AD5880C1}"/>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23" name="AutoShape 256" descr="+">
          <a:extLst>
            <a:ext uri="{FF2B5EF4-FFF2-40B4-BE49-F238E27FC236}">
              <a16:creationId xmlns:a16="http://schemas.microsoft.com/office/drawing/2014/main" id="{E3C6F355-67E1-49D1-9F45-FA50D58C5F25}"/>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24" name="AutoShape 257" descr="+">
          <a:extLst>
            <a:ext uri="{FF2B5EF4-FFF2-40B4-BE49-F238E27FC236}">
              <a16:creationId xmlns:a16="http://schemas.microsoft.com/office/drawing/2014/main" id="{2739FDC6-3762-43ED-ACC9-1398BE1A6AB0}"/>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71328"/>
    <xdr:sp macro="" textlink="">
      <xdr:nvSpPr>
        <xdr:cNvPr id="825" name="AutoShape 258" descr="+">
          <a:extLst>
            <a:ext uri="{FF2B5EF4-FFF2-40B4-BE49-F238E27FC236}">
              <a16:creationId xmlns:a16="http://schemas.microsoft.com/office/drawing/2014/main" id="{B697FCA5-4772-47C0-A3C6-9C0DC3F2C1F6}"/>
            </a:ext>
          </a:extLst>
        </xdr:cNvPr>
        <xdr:cNvSpPr>
          <a:spLocks noChangeAspect="1" noChangeArrowheads="1"/>
        </xdr:cNvSpPr>
      </xdr:nvSpPr>
      <xdr:spPr bwMode="auto">
        <a:xfrm>
          <a:off x="1888435" y="4447761"/>
          <a:ext cx="304800" cy="271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7"/>
    <xdr:sp macro="" textlink="">
      <xdr:nvSpPr>
        <xdr:cNvPr id="826" name="AutoShape 259" descr="+">
          <a:extLst>
            <a:ext uri="{FF2B5EF4-FFF2-40B4-BE49-F238E27FC236}">
              <a16:creationId xmlns:a16="http://schemas.microsoft.com/office/drawing/2014/main" id="{2A2395EF-E6B3-4082-BD01-C57AD8A51884}"/>
            </a:ext>
          </a:extLst>
        </xdr:cNvPr>
        <xdr:cNvSpPr>
          <a:spLocks noChangeAspect="1" noChangeArrowheads="1"/>
        </xdr:cNvSpPr>
      </xdr:nvSpPr>
      <xdr:spPr bwMode="auto">
        <a:xfrm>
          <a:off x="1888435" y="4447761"/>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6"/>
    <xdr:sp macro="" textlink="">
      <xdr:nvSpPr>
        <xdr:cNvPr id="827" name="AutoShape 260" descr="+">
          <a:extLst>
            <a:ext uri="{FF2B5EF4-FFF2-40B4-BE49-F238E27FC236}">
              <a16:creationId xmlns:a16="http://schemas.microsoft.com/office/drawing/2014/main" id="{974EB9A9-B450-4F29-8D4C-B8CA759C3382}"/>
            </a:ext>
          </a:extLst>
        </xdr:cNvPr>
        <xdr:cNvSpPr>
          <a:spLocks noChangeAspect="1" noChangeArrowheads="1"/>
        </xdr:cNvSpPr>
      </xdr:nvSpPr>
      <xdr:spPr bwMode="auto">
        <a:xfrm>
          <a:off x="1888435" y="4447761"/>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28" name="AutoShape 261" descr="+">
          <a:extLst>
            <a:ext uri="{FF2B5EF4-FFF2-40B4-BE49-F238E27FC236}">
              <a16:creationId xmlns:a16="http://schemas.microsoft.com/office/drawing/2014/main" id="{D123B60F-31D8-461C-B5FF-1F52FBF7FD45}"/>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29" name="AutoShape 262" descr="+">
          <a:extLst>
            <a:ext uri="{FF2B5EF4-FFF2-40B4-BE49-F238E27FC236}">
              <a16:creationId xmlns:a16="http://schemas.microsoft.com/office/drawing/2014/main" id="{3E7A2D3E-2C31-496B-A39A-867154C17A3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5329"/>
    <xdr:sp macro="" textlink="">
      <xdr:nvSpPr>
        <xdr:cNvPr id="830" name="AutoShape 263" descr="+">
          <a:extLst>
            <a:ext uri="{FF2B5EF4-FFF2-40B4-BE49-F238E27FC236}">
              <a16:creationId xmlns:a16="http://schemas.microsoft.com/office/drawing/2014/main" id="{528F4C73-3E1C-4BD3-9976-8EB758DAFDA5}"/>
            </a:ext>
          </a:extLst>
        </xdr:cNvPr>
        <xdr:cNvSpPr>
          <a:spLocks noChangeAspect="1" noChangeArrowheads="1"/>
        </xdr:cNvSpPr>
      </xdr:nvSpPr>
      <xdr:spPr bwMode="auto">
        <a:xfrm>
          <a:off x="1888435" y="4447761"/>
          <a:ext cx="304800" cy="1653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5328"/>
    <xdr:sp macro="" textlink="">
      <xdr:nvSpPr>
        <xdr:cNvPr id="831" name="AutoShape 264" descr="+">
          <a:extLst>
            <a:ext uri="{FF2B5EF4-FFF2-40B4-BE49-F238E27FC236}">
              <a16:creationId xmlns:a16="http://schemas.microsoft.com/office/drawing/2014/main" id="{2F85A723-6279-4811-9A78-9FB5F98D495E}"/>
            </a:ext>
          </a:extLst>
        </xdr:cNvPr>
        <xdr:cNvSpPr>
          <a:spLocks noChangeAspect="1" noChangeArrowheads="1"/>
        </xdr:cNvSpPr>
      </xdr:nvSpPr>
      <xdr:spPr bwMode="auto">
        <a:xfrm>
          <a:off x="1888435" y="4447761"/>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1"/>
    <xdr:sp macro="" textlink="">
      <xdr:nvSpPr>
        <xdr:cNvPr id="832" name="AutoShape 265" descr="+">
          <a:extLst>
            <a:ext uri="{FF2B5EF4-FFF2-40B4-BE49-F238E27FC236}">
              <a16:creationId xmlns:a16="http://schemas.microsoft.com/office/drawing/2014/main" id="{FD5FC8F9-7959-4801-B9A5-4CB63C767017}"/>
            </a:ext>
          </a:extLst>
        </xdr:cNvPr>
        <xdr:cNvSpPr>
          <a:spLocks noChangeAspect="1" noChangeArrowheads="1"/>
        </xdr:cNvSpPr>
      </xdr:nvSpPr>
      <xdr:spPr bwMode="auto">
        <a:xfrm>
          <a:off x="1888435" y="4447761"/>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6"/>
    <xdr:sp macro="" textlink="">
      <xdr:nvSpPr>
        <xdr:cNvPr id="833" name="AutoShape 266" descr="+">
          <a:extLst>
            <a:ext uri="{FF2B5EF4-FFF2-40B4-BE49-F238E27FC236}">
              <a16:creationId xmlns:a16="http://schemas.microsoft.com/office/drawing/2014/main" id="{3184B63D-7CDC-4816-8F20-D346D456C052}"/>
            </a:ext>
          </a:extLst>
        </xdr:cNvPr>
        <xdr:cNvSpPr>
          <a:spLocks noChangeAspect="1" noChangeArrowheads="1"/>
        </xdr:cNvSpPr>
      </xdr:nvSpPr>
      <xdr:spPr bwMode="auto">
        <a:xfrm>
          <a:off x="1888435" y="4447761"/>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8"/>
    <xdr:sp macro="" textlink="">
      <xdr:nvSpPr>
        <xdr:cNvPr id="834" name="AutoShape 267" descr="+">
          <a:extLst>
            <a:ext uri="{FF2B5EF4-FFF2-40B4-BE49-F238E27FC236}">
              <a16:creationId xmlns:a16="http://schemas.microsoft.com/office/drawing/2014/main" id="{E8536FBB-32C2-4092-89EE-463A13645EC9}"/>
            </a:ext>
          </a:extLst>
        </xdr:cNvPr>
        <xdr:cNvSpPr>
          <a:spLocks noChangeAspect="1" noChangeArrowheads="1"/>
        </xdr:cNvSpPr>
      </xdr:nvSpPr>
      <xdr:spPr bwMode="auto">
        <a:xfrm>
          <a:off x="1888435" y="4447761"/>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1"/>
    <xdr:sp macro="" textlink="">
      <xdr:nvSpPr>
        <xdr:cNvPr id="835" name="AutoShape 268" descr="+">
          <a:extLst>
            <a:ext uri="{FF2B5EF4-FFF2-40B4-BE49-F238E27FC236}">
              <a16:creationId xmlns:a16="http://schemas.microsoft.com/office/drawing/2014/main" id="{E9C74ABE-58B1-4FD4-BE53-AE26700BBBD1}"/>
            </a:ext>
          </a:extLst>
        </xdr:cNvPr>
        <xdr:cNvSpPr>
          <a:spLocks noChangeAspect="1" noChangeArrowheads="1"/>
        </xdr:cNvSpPr>
      </xdr:nvSpPr>
      <xdr:spPr bwMode="auto">
        <a:xfrm>
          <a:off x="1888435" y="4447761"/>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9"/>
    <xdr:sp macro="" textlink="">
      <xdr:nvSpPr>
        <xdr:cNvPr id="836" name="AutoShape 269" descr="+">
          <a:extLst>
            <a:ext uri="{FF2B5EF4-FFF2-40B4-BE49-F238E27FC236}">
              <a16:creationId xmlns:a16="http://schemas.microsoft.com/office/drawing/2014/main" id="{EC2DE87E-5089-45A0-928E-E710A0A96D57}"/>
            </a:ext>
          </a:extLst>
        </xdr:cNvPr>
        <xdr:cNvSpPr>
          <a:spLocks noChangeAspect="1" noChangeArrowheads="1"/>
        </xdr:cNvSpPr>
      </xdr:nvSpPr>
      <xdr:spPr bwMode="auto">
        <a:xfrm>
          <a:off x="1888435" y="4447761"/>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9"/>
    <xdr:sp macro="" textlink="">
      <xdr:nvSpPr>
        <xdr:cNvPr id="837" name="AutoShape 270" descr="+">
          <a:extLst>
            <a:ext uri="{FF2B5EF4-FFF2-40B4-BE49-F238E27FC236}">
              <a16:creationId xmlns:a16="http://schemas.microsoft.com/office/drawing/2014/main" id="{C064E9BE-A6A7-4EEA-9C2B-C3FEE638ED6A}"/>
            </a:ext>
          </a:extLst>
        </xdr:cNvPr>
        <xdr:cNvSpPr>
          <a:spLocks noChangeAspect="1" noChangeArrowheads="1"/>
        </xdr:cNvSpPr>
      </xdr:nvSpPr>
      <xdr:spPr bwMode="auto">
        <a:xfrm>
          <a:off x="1888435" y="4447761"/>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8468"/>
    <xdr:sp macro="" textlink="">
      <xdr:nvSpPr>
        <xdr:cNvPr id="838" name="AutoShape 271" descr="+">
          <a:extLst>
            <a:ext uri="{FF2B5EF4-FFF2-40B4-BE49-F238E27FC236}">
              <a16:creationId xmlns:a16="http://schemas.microsoft.com/office/drawing/2014/main" id="{0EF2868A-972F-4579-91EB-52A8480F0367}"/>
            </a:ext>
          </a:extLst>
        </xdr:cNvPr>
        <xdr:cNvSpPr>
          <a:spLocks noChangeAspect="1" noChangeArrowheads="1"/>
        </xdr:cNvSpPr>
      </xdr:nvSpPr>
      <xdr:spPr bwMode="auto">
        <a:xfrm>
          <a:off x="1888435" y="4447761"/>
          <a:ext cx="304800" cy="308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9"/>
    <xdr:sp macro="" textlink="">
      <xdr:nvSpPr>
        <xdr:cNvPr id="839" name="AutoShape 272" descr="+">
          <a:extLst>
            <a:ext uri="{FF2B5EF4-FFF2-40B4-BE49-F238E27FC236}">
              <a16:creationId xmlns:a16="http://schemas.microsoft.com/office/drawing/2014/main" id="{A57B204D-5F18-490F-BE60-1F5478A3560D}"/>
            </a:ext>
          </a:extLst>
        </xdr:cNvPr>
        <xdr:cNvSpPr>
          <a:spLocks noChangeAspect="1" noChangeArrowheads="1"/>
        </xdr:cNvSpPr>
      </xdr:nvSpPr>
      <xdr:spPr bwMode="auto">
        <a:xfrm>
          <a:off x="1888435" y="4447761"/>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40" name="AutoShape 273" descr="+">
          <a:extLst>
            <a:ext uri="{FF2B5EF4-FFF2-40B4-BE49-F238E27FC236}">
              <a16:creationId xmlns:a16="http://schemas.microsoft.com/office/drawing/2014/main" id="{88B69A03-791A-40F4-B3FB-D759F60C5815}"/>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41" name="AutoShape 274" descr="+">
          <a:extLst>
            <a:ext uri="{FF2B5EF4-FFF2-40B4-BE49-F238E27FC236}">
              <a16:creationId xmlns:a16="http://schemas.microsoft.com/office/drawing/2014/main" id="{76C139F1-3013-49A1-9F86-69BEDAD971ED}"/>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5297"/>
    <xdr:sp macro="" textlink="">
      <xdr:nvSpPr>
        <xdr:cNvPr id="842" name="AutoShape 275" descr="+">
          <a:extLst>
            <a:ext uri="{FF2B5EF4-FFF2-40B4-BE49-F238E27FC236}">
              <a16:creationId xmlns:a16="http://schemas.microsoft.com/office/drawing/2014/main" id="{30C972F1-C7A7-4600-B360-B5B4FB225BE7}"/>
            </a:ext>
          </a:extLst>
        </xdr:cNvPr>
        <xdr:cNvSpPr>
          <a:spLocks noChangeAspect="1" noChangeArrowheads="1"/>
        </xdr:cNvSpPr>
      </xdr:nvSpPr>
      <xdr:spPr bwMode="auto">
        <a:xfrm>
          <a:off x="1888435" y="4447761"/>
          <a:ext cx="304800" cy="1852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43" name="AutoShape 276" descr="+">
          <a:extLst>
            <a:ext uri="{FF2B5EF4-FFF2-40B4-BE49-F238E27FC236}">
              <a16:creationId xmlns:a16="http://schemas.microsoft.com/office/drawing/2014/main" id="{5A63CF9E-AE94-47C0-9EF4-C75594816903}"/>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44" name="AutoShape 277" descr="+">
          <a:extLst>
            <a:ext uri="{FF2B5EF4-FFF2-40B4-BE49-F238E27FC236}">
              <a16:creationId xmlns:a16="http://schemas.microsoft.com/office/drawing/2014/main" id="{A75BBD4C-16B9-44D2-836A-38B58CD9B0F2}"/>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45" name="AutoShape 278" descr="+">
          <a:extLst>
            <a:ext uri="{FF2B5EF4-FFF2-40B4-BE49-F238E27FC236}">
              <a16:creationId xmlns:a16="http://schemas.microsoft.com/office/drawing/2014/main" id="{8D00EEC2-6890-4841-A33E-8143EBB0869E}"/>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1"/>
    <xdr:sp macro="" textlink="">
      <xdr:nvSpPr>
        <xdr:cNvPr id="846" name="AutoShape 279" descr="+">
          <a:extLst>
            <a:ext uri="{FF2B5EF4-FFF2-40B4-BE49-F238E27FC236}">
              <a16:creationId xmlns:a16="http://schemas.microsoft.com/office/drawing/2014/main" id="{2BA32A63-99C2-4861-B0CB-14F1B4C619A4}"/>
            </a:ext>
          </a:extLst>
        </xdr:cNvPr>
        <xdr:cNvSpPr>
          <a:spLocks noChangeAspect="1" noChangeArrowheads="1"/>
        </xdr:cNvSpPr>
      </xdr:nvSpPr>
      <xdr:spPr bwMode="auto">
        <a:xfrm>
          <a:off x="1888435" y="4447761"/>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847" name="AutoShape 280" descr="+">
          <a:extLst>
            <a:ext uri="{FF2B5EF4-FFF2-40B4-BE49-F238E27FC236}">
              <a16:creationId xmlns:a16="http://schemas.microsoft.com/office/drawing/2014/main" id="{25582FC6-B6A7-4B30-9B97-46D802F58827}"/>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48" name="AutoShape 281" descr="+">
          <a:extLst>
            <a:ext uri="{FF2B5EF4-FFF2-40B4-BE49-F238E27FC236}">
              <a16:creationId xmlns:a16="http://schemas.microsoft.com/office/drawing/2014/main" id="{2913112A-0AF5-4222-96AB-F95F558AEAC4}"/>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8"/>
    <xdr:sp macro="" textlink="">
      <xdr:nvSpPr>
        <xdr:cNvPr id="849" name="AutoShape 282" descr="+">
          <a:extLst>
            <a:ext uri="{FF2B5EF4-FFF2-40B4-BE49-F238E27FC236}">
              <a16:creationId xmlns:a16="http://schemas.microsoft.com/office/drawing/2014/main" id="{98487249-C072-4B8A-895B-91FD95A91E24}"/>
            </a:ext>
          </a:extLst>
        </xdr:cNvPr>
        <xdr:cNvSpPr>
          <a:spLocks noChangeAspect="1" noChangeArrowheads="1"/>
        </xdr:cNvSpPr>
      </xdr:nvSpPr>
      <xdr:spPr bwMode="auto">
        <a:xfrm>
          <a:off x="1888435" y="4447761"/>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50" name="AutoShape 283" descr="+">
          <a:extLst>
            <a:ext uri="{FF2B5EF4-FFF2-40B4-BE49-F238E27FC236}">
              <a16:creationId xmlns:a16="http://schemas.microsoft.com/office/drawing/2014/main" id="{57515E90-F52A-4ACD-8A3C-FD1FE38BC7FD}"/>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51" name="AutoShape 284" descr="+">
          <a:extLst>
            <a:ext uri="{FF2B5EF4-FFF2-40B4-BE49-F238E27FC236}">
              <a16:creationId xmlns:a16="http://schemas.microsoft.com/office/drawing/2014/main" id="{9FE3CC25-1C2E-4E98-BEA9-171AA1C3BA5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6"/>
    <xdr:sp macro="" textlink="">
      <xdr:nvSpPr>
        <xdr:cNvPr id="852" name="AutoShape 285" descr="+">
          <a:extLst>
            <a:ext uri="{FF2B5EF4-FFF2-40B4-BE49-F238E27FC236}">
              <a16:creationId xmlns:a16="http://schemas.microsoft.com/office/drawing/2014/main" id="{A72AA8DC-2C49-461A-8903-F14D85D24620}"/>
            </a:ext>
          </a:extLst>
        </xdr:cNvPr>
        <xdr:cNvSpPr>
          <a:spLocks noChangeAspect="1" noChangeArrowheads="1"/>
        </xdr:cNvSpPr>
      </xdr:nvSpPr>
      <xdr:spPr bwMode="auto">
        <a:xfrm>
          <a:off x="1888435" y="4447761"/>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4"/>
    <xdr:sp macro="" textlink="">
      <xdr:nvSpPr>
        <xdr:cNvPr id="853" name="AutoShape 286" descr="+">
          <a:extLst>
            <a:ext uri="{FF2B5EF4-FFF2-40B4-BE49-F238E27FC236}">
              <a16:creationId xmlns:a16="http://schemas.microsoft.com/office/drawing/2014/main" id="{7BEAF315-C9EE-4D9A-B340-D5C3A125D58C}"/>
            </a:ext>
          </a:extLst>
        </xdr:cNvPr>
        <xdr:cNvSpPr>
          <a:spLocks noChangeAspect="1" noChangeArrowheads="1"/>
        </xdr:cNvSpPr>
      </xdr:nvSpPr>
      <xdr:spPr bwMode="auto">
        <a:xfrm>
          <a:off x="1888435" y="4447761"/>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7"/>
    <xdr:sp macro="" textlink="">
      <xdr:nvSpPr>
        <xdr:cNvPr id="854" name="AutoShape 287" descr="+">
          <a:extLst>
            <a:ext uri="{FF2B5EF4-FFF2-40B4-BE49-F238E27FC236}">
              <a16:creationId xmlns:a16="http://schemas.microsoft.com/office/drawing/2014/main" id="{5177E2F3-D443-42A2-BB28-A165B924E323}"/>
            </a:ext>
          </a:extLst>
        </xdr:cNvPr>
        <xdr:cNvSpPr>
          <a:spLocks noChangeAspect="1" noChangeArrowheads="1"/>
        </xdr:cNvSpPr>
      </xdr:nvSpPr>
      <xdr:spPr bwMode="auto">
        <a:xfrm>
          <a:off x="1888435" y="4447761"/>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7"/>
    <xdr:sp macro="" textlink="">
      <xdr:nvSpPr>
        <xdr:cNvPr id="855" name="AutoShape 288" descr="+">
          <a:extLst>
            <a:ext uri="{FF2B5EF4-FFF2-40B4-BE49-F238E27FC236}">
              <a16:creationId xmlns:a16="http://schemas.microsoft.com/office/drawing/2014/main" id="{76E526C8-28B4-4ED5-B239-A9D745C31846}"/>
            </a:ext>
          </a:extLst>
        </xdr:cNvPr>
        <xdr:cNvSpPr>
          <a:spLocks noChangeAspect="1" noChangeArrowheads="1"/>
        </xdr:cNvSpPr>
      </xdr:nvSpPr>
      <xdr:spPr bwMode="auto">
        <a:xfrm>
          <a:off x="1888435" y="4447761"/>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856" name="AutoShape 289" descr="+">
          <a:extLst>
            <a:ext uri="{FF2B5EF4-FFF2-40B4-BE49-F238E27FC236}">
              <a16:creationId xmlns:a16="http://schemas.microsoft.com/office/drawing/2014/main" id="{C902C61B-A3A2-423D-AB08-5AD569EAD9AF}"/>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57" name="AutoShape 290" descr="+">
          <a:extLst>
            <a:ext uri="{FF2B5EF4-FFF2-40B4-BE49-F238E27FC236}">
              <a16:creationId xmlns:a16="http://schemas.microsoft.com/office/drawing/2014/main" id="{FBB9BAE3-338E-4EA8-A841-44B9299409F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58" name="AutoShape 291" descr="+">
          <a:extLst>
            <a:ext uri="{FF2B5EF4-FFF2-40B4-BE49-F238E27FC236}">
              <a16:creationId xmlns:a16="http://schemas.microsoft.com/office/drawing/2014/main" id="{4CC651E6-9BD2-4265-B337-D6FF5BF7BFE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59" name="AutoShape 292" descr="+">
          <a:extLst>
            <a:ext uri="{FF2B5EF4-FFF2-40B4-BE49-F238E27FC236}">
              <a16:creationId xmlns:a16="http://schemas.microsoft.com/office/drawing/2014/main" id="{C285D2B8-7AC1-40B1-9AC5-79CA9DD6CDAE}"/>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60" name="AutoShape 293" descr="+">
          <a:extLst>
            <a:ext uri="{FF2B5EF4-FFF2-40B4-BE49-F238E27FC236}">
              <a16:creationId xmlns:a16="http://schemas.microsoft.com/office/drawing/2014/main" id="{87424BC9-9859-4F34-A8FE-CFC974FC0369}"/>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61" name="AutoShape 294" descr="+">
          <a:extLst>
            <a:ext uri="{FF2B5EF4-FFF2-40B4-BE49-F238E27FC236}">
              <a16:creationId xmlns:a16="http://schemas.microsoft.com/office/drawing/2014/main" id="{7050CAAF-6FD1-4FA5-9DB4-D913FADCC065}"/>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664"/>
    <xdr:sp macro="" textlink="">
      <xdr:nvSpPr>
        <xdr:cNvPr id="862" name="AutoShape 295" descr="+">
          <a:extLst>
            <a:ext uri="{FF2B5EF4-FFF2-40B4-BE49-F238E27FC236}">
              <a16:creationId xmlns:a16="http://schemas.microsoft.com/office/drawing/2014/main" id="{749BCB45-18A6-4C71-86F0-33594DBFAA02}"/>
            </a:ext>
          </a:extLst>
        </xdr:cNvPr>
        <xdr:cNvSpPr>
          <a:spLocks noChangeAspect="1" noChangeArrowheads="1"/>
        </xdr:cNvSpPr>
      </xdr:nvSpPr>
      <xdr:spPr bwMode="auto">
        <a:xfrm>
          <a:off x="1888435" y="4447761"/>
          <a:ext cx="304800" cy="30466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863" name="AutoShape 296" descr="+">
          <a:extLst>
            <a:ext uri="{FF2B5EF4-FFF2-40B4-BE49-F238E27FC236}">
              <a16:creationId xmlns:a16="http://schemas.microsoft.com/office/drawing/2014/main" id="{E4E036E0-F10B-45EC-8120-5B9BFBD10B02}"/>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6063"/>
    <xdr:sp macro="" textlink="">
      <xdr:nvSpPr>
        <xdr:cNvPr id="864" name="AutoShape 297" descr="+">
          <a:extLst>
            <a:ext uri="{FF2B5EF4-FFF2-40B4-BE49-F238E27FC236}">
              <a16:creationId xmlns:a16="http://schemas.microsoft.com/office/drawing/2014/main" id="{51A29828-0A77-4102-8FA9-2DE753E2F762}"/>
            </a:ext>
          </a:extLst>
        </xdr:cNvPr>
        <xdr:cNvSpPr>
          <a:spLocks noChangeAspect="1" noChangeArrowheads="1"/>
        </xdr:cNvSpPr>
      </xdr:nvSpPr>
      <xdr:spPr bwMode="auto">
        <a:xfrm>
          <a:off x="1888435" y="4447761"/>
          <a:ext cx="304800" cy="3060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65" name="AutoShape 298" descr="+">
          <a:extLst>
            <a:ext uri="{FF2B5EF4-FFF2-40B4-BE49-F238E27FC236}">
              <a16:creationId xmlns:a16="http://schemas.microsoft.com/office/drawing/2014/main" id="{4756686F-1D31-42F8-A9DE-CF148087C38C}"/>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1496786</xdr:colOff>
      <xdr:row>8</xdr:row>
      <xdr:rowOff>0</xdr:rowOff>
    </xdr:from>
    <xdr:ext cx="304800" cy="166687"/>
    <xdr:sp macro="" textlink="">
      <xdr:nvSpPr>
        <xdr:cNvPr id="867" name="AutoShape 80" descr="+">
          <a:extLst>
            <a:ext uri="{FF2B5EF4-FFF2-40B4-BE49-F238E27FC236}">
              <a16:creationId xmlns:a16="http://schemas.microsoft.com/office/drawing/2014/main" id="{924B87E4-9561-4DE4-9EDA-CCACFE4FD70B}"/>
            </a:ext>
          </a:extLst>
        </xdr:cNvPr>
        <xdr:cNvSpPr>
          <a:spLocks noChangeAspect="1" noChangeArrowheads="1"/>
        </xdr:cNvSpPr>
      </xdr:nvSpPr>
      <xdr:spPr bwMode="auto">
        <a:xfrm>
          <a:off x="3385221" y="4447761"/>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866" name="AutoShape 4" descr="+">
          <a:extLst>
            <a:ext uri="{FF2B5EF4-FFF2-40B4-BE49-F238E27FC236}">
              <a16:creationId xmlns:a16="http://schemas.microsoft.com/office/drawing/2014/main" id="{638B5041-C85C-441B-ABD5-8DDF004BDC72}"/>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868" name="AutoShape 5" descr="+">
          <a:extLst>
            <a:ext uri="{FF2B5EF4-FFF2-40B4-BE49-F238E27FC236}">
              <a16:creationId xmlns:a16="http://schemas.microsoft.com/office/drawing/2014/main" id="{141D8040-F899-4780-8159-3FE98A314269}"/>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7"/>
    <xdr:sp macro="" textlink="">
      <xdr:nvSpPr>
        <xdr:cNvPr id="869" name="AutoShape 6" descr="+">
          <a:extLst>
            <a:ext uri="{FF2B5EF4-FFF2-40B4-BE49-F238E27FC236}">
              <a16:creationId xmlns:a16="http://schemas.microsoft.com/office/drawing/2014/main" id="{175A2817-D489-4492-A152-301EC24E41AA}"/>
            </a:ext>
          </a:extLst>
        </xdr:cNvPr>
        <xdr:cNvSpPr>
          <a:spLocks noChangeAspect="1" noChangeArrowheads="1"/>
        </xdr:cNvSpPr>
      </xdr:nvSpPr>
      <xdr:spPr bwMode="auto">
        <a:xfrm>
          <a:off x="2294283" y="4977848"/>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4665"/>
    <xdr:sp macro="" textlink="">
      <xdr:nvSpPr>
        <xdr:cNvPr id="870" name="AutoShape 7" descr="+">
          <a:extLst>
            <a:ext uri="{FF2B5EF4-FFF2-40B4-BE49-F238E27FC236}">
              <a16:creationId xmlns:a16="http://schemas.microsoft.com/office/drawing/2014/main" id="{F73883E1-B7FB-47A5-B9AC-D88549213A53}"/>
            </a:ext>
          </a:extLst>
        </xdr:cNvPr>
        <xdr:cNvSpPr>
          <a:spLocks noChangeAspect="1" noChangeArrowheads="1"/>
        </xdr:cNvSpPr>
      </xdr:nvSpPr>
      <xdr:spPr bwMode="auto">
        <a:xfrm>
          <a:off x="2294283" y="4977848"/>
          <a:ext cx="304800" cy="1746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8"/>
    <xdr:sp macro="" textlink="">
      <xdr:nvSpPr>
        <xdr:cNvPr id="871" name="AutoShape 8" descr="+">
          <a:extLst>
            <a:ext uri="{FF2B5EF4-FFF2-40B4-BE49-F238E27FC236}">
              <a16:creationId xmlns:a16="http://schemas.microsoft.com/office/drawing/2014/main" id="{CDA7A1ED-AB5C-4E12-BA33-77EFDE544F68}"/>
            </a:ext>
          </a:extLst>
        </xdr:cNvPr>
        <xdr:cNvSpPr>
          <a:spLocks noChangeAspect="1" noChangeArrowheads="1"/>
        </xdr:cNvSpPr>
      </xdr:nvSpPr>
      <xdr:spPr bwMode="auto">
        <a:xfrm>
          <a:off x="2294283" y="4977848"/>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5"/>
    <xdr:sp macro="" textlink="">
      <xdr:nvSpPr>
        <xdr:cNvPr id="872" name="AutoShape 9" descr="+">
          <a:extLst>
            <a:ext uri="{FF2B5EF4-FFF2-40B4-BE49-F238E27FC236}">
              <a16:creationId xmlns:a16="http://schemas.microsoft.com/office/drawing/2014/main" id="{10B976EA-3C92-47AB-BCE7-727F898BBCBE}"/>
            </a:ext>
          </a:extLst>
        </xdr:cNvPr>
        <xdr:cNvSpPr>
          <a:spLocks noChangeAspect="1" noChangeArrowheads="1"/>
        </xdr:cNvSpPr>
      </xdr:nvSpPr>
      <xdr:spPr bwMode="auto">
        <a:xfrm>
          <a:off x="2294283" y="4977848"/>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8"/>
    <xdr:sp macro="" textlink="">
      <xdr:nvSpPr>
        <xdr:cNvPr id="873" name="AutoShape 10" descr="+">
          <a:extLst>
            <a:ext uri="{FF2B5EF4-FFF2-40B4-BE49-F238E27FC236}">
              <a16:creationId xmlns:a16="http://schemas.microsoft.com/office/drawing/2014/main" id="{7D1CF251-F265-4D75-A7CC-69AE9A04EEF8}"/>
            </a:ext>
          </a:extLst>
        </xdr:cNvPr>
        <xdr:cNvSpPr>
          <a:spLocks noChangeAspect="1" noChangeArrowheads="1"/>
        </xdr:cNvSpPr>
      </xdr:nvSpPr>
      <xdr:spPr bwMode="auto">
        <a:xfrm>
          <a:off x="2294283" y="4977848"/>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2180"/>
    <xdr:sp macro="" textlink="">
      <xdr:nvSpPr>
        <xdr:cNvPr id="874" name="AutoShape 11" descr="+">
          <a:extLst>
            <a:ext uri="{FF2B5EF4-FFF2-40B4-BE49-F238E27FC236}">
              <a16:creationId xmlns:a16="http://schemas.microsoft.com/office/drawing/2014/main" id="{F7C10F6A-AD9D-482E-AB83-FDABC115E4FA}"/>
            </a:ext>
          </a:extLst>
        </xdr:cNvPr>
        <xdr:cNvSpPr>
          <a:spLocks noChangeAspect="1" noChangeArrowheads="1"/>
        </xdr:cNvSpPr>
      </xdr:nvSpPr>
      <xdr:spPr bwMode="auto">
        <a:xfrm>
          <a:off x="2294283" y="4977848"/>
          <a:ext cx="304800" cy="192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70133"/>
    <xdr:sp macro="" textlink="">
      <xdr:nvSpPr>
        <xdr:cNvPr id="875" name="AutoShape 12" descr="+">
          <a:extLst>
            <a:ext uri="{FF2B5EF4-FFF2-40B4-BE49-F238E27FC236}">
              <a16:creationId xmlns:a16="http://schemas.microsoft.com/office/drawing/2014/main" id="{252C248C-77C3-4748-BD4A-DAD8B7A680CB}"/>
            </a:ext>
          </a:extLst>
        </xdr:cNvPr>
        <xdr:cNvSpPr>
          <a:spLocks noChangeAspect="1" noChangeArrowheads="1"/>
        </xdr:cNvSpPr>
      </xdr:nvSpPr>
      <xdr:spPr bwMode="auto">
        <a:xfrm>
          <a:off x="2294283" y="4977848"/>
          <a:ext cx="304800" cy="270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3131"/>
    <xdr:sp macro="" textlink="">
      <xdr:nvSpPr>
        <xdr:cNvPr id="876" name="AutoShape 13" descr="+">
          <a:extLst>
            <a:ext uri="{FF2B5EF4-FFF2-40B4-BE49-F238E27FC236}">
              <a16:creationId xmlns:a16="http://schemas.microsoft.com/office/drawing/2014/main" id="{C34ED8F2-3C31-47A3-8FA8-F68FB1C2DF84}"/>
            </a:ext>
          </a:extLst>
        </xdr:cNvPr>
        <xdr:cNvSpPr>
          <a:spLocks noChangeAspect="1" noChangeArrowheads="1"/>
        </xdr:cNvSpPr>
      </xdr:nvSpPr>
      <xdr:spPr bwMode="auto">
        <a:xfrm>
          <a:off x="2294283" y="4977848"/>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8"/>
    <xdr:sp macro="" textlink="">
      <xdr:nvSpPr>
        <xdr:cNvPr id="877" name="AutoShape 14" descr="+">
          <a:extLst>
            <a:ext uri="{FF2B5EF4-FFF2-40B4-BE49-F238E27FC236}">
              <a16:creationId xmlns:a16="http://schemas.microsoft.com/office/drawing/2014/main" id="{7595D145-23EE-4FE7-8F77-158EBF9CC234}"/>
            </a:ext>
          </a:extLst>
        </xdr:cNvPr>
        <xdr:cNvSpPr>
          <a:spLocks noChangeAspect="1" noChangeArrowheads="1"/>
        </xdr:cNvSpPr>
      </xdr:nvSpPr>
      <xdr:spPr bwMode="auto">
        <a:xfrm>
          <a:off x="2294283" y="4977848"/>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5"/>
    <xdr:sp macro="" textlink="">
      <xdr:nvSpPr>
        <xdr:cNvPr id="878" name="AutoShape 15" descr="+">
          <a:extLst>
            <a:ext uri="{FF2B5EF4-FFF2-40B4-BE49-F238E27FC236}">
              <a16:creationId xmlns:a16="http://schemas.microsoft.com/office/drawing/2014/main" id="{6917867B-1688-4F1C-A210-F2D48E19E0A0}"/>
            </a:ext>
          </a:extLst>
        </xdr:cNvPr>
        <xdr:cNvSpPr>
          <a:spLocks noChangeAspect="1" noChangeArrowheads="1"/>
        </xdr:cNvSpPr>
      </xdr:nvSpPr>
      <xdr:spPr bwMode="auto">
        <a:xfrm>
          <a:off x="2294283" y="4977848"/>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901"/>
    <xdr:sp macro="" textlink="">
      <xdr:nvSpPr>
        <xdr:cNvPr id="879" name="AutoShape 16" descr="+">
          <a:extLst>
            <a:ext uri="{FF2B5EF4-FFF2-40B4-BE49-F238E27FC236}">
              <a16:creationId xmlns:a16="http://schemas.microsoft.com/office/drawing/2014/main" id="{64E05C77-A2C1-4A7F-89A3-7969E235501F}"/>
            </a:ext>
          </a:extLst>
        </xdr:cNvPr>
        <xdr:cNvSpPr>
          <a:spLocks noChangeAspect="1" noChangeArrowheads="1"/>
        </xdr:cNvSpPr>
      </xdr:nvSpPr>
      <xdr:spPr bwMode="auto">
        <a:xfrm>
          <a:off x="2294283" y="4977848"/>
          <a:ext cx="304800" cy="1919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8133"/>
    <xdr:sp macro="" textlink="">
      <xdr:nvSpPr>
        <xdr:cNvPr id="880" name="AutoShape 17" descr="+">
          <a:extLst>
            <a:ext uri="{FF2B5EF4-FFF2-40B4-BE49-F238E27FC236}">
              <a16:creationId xmlns:a16="http://schemas.microsoft.com/office/drawing/2014/main" id="{84A9D2BE-2D80-4633-97B0-EF6ACD907E2D}"/>
            </a:ext>
          </a:extLst>
        </xdr:cNvPr>
        <xdr:cNvSpPr>
          <a:spLocks noChangeAspect="1" noChangeArrowheads="1"/>
        </xdr:cNvSpPr>
      </xdr:nvSpPr>
      <xdr:spPr bwMode="auto">
        <a:xfrm>
          <a:off x="2294283" y="4977848"/>
          <a:ext cx="304800" cy="178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8135"/>
    <xdr:sp macro="" textlink="">
      <xdr:nvSpPr>
        <xdr:cNvPr id="881" name="AutoShape 18" descr="+">
          <a:extLst>
            <a:ext uri="{FF2B5EF4-FFF2-40B4-BE49-F238E27FC236}">
              <a16:creationId xmlns:a16="http://schemas.microsoft.com/office/drawing/2014/main" id="{5C6B65E5-D74F-4C50-86E8-ED6F456ED82A}"/>
            </a:ext>
          </a:extLst>
        </xdr:cNvPr>
        <xdr:cNvSpPr>
          <a:spLocks noChangeAspect="1" noChangeArrowheads="1"/>
        </xdr:cNvSpPr>
      </xdr:nvSpPr>
      <xdr:spPr bwMode="auto">
        <a:xfrm>
          <a:off x="2294283" y="4977848"/>
          <a:ext cx="304800" cy="1781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9535"/>
    <xdr:sp macro="" textlink="">
      <xdr:nvSpPr>
        <xdr:cNvPr id="882" name="AutoShape 19" descr="+">
          <a:extLst>
            <a:ext uri="{FF2B5EF4-FFF2-40B4-BE49-F238E27FC236}">
              <a16:creationId xmlns:a16="http://schemas.microsoft.com/office/drawing/2014/main" id="{698531FB-21E2-499B-BA9F-33A07B3F547F}"/>
            </a:ext>
          </a:extLst>
        </xdr:cNvPr>
        <xdr:cNvSpPr>
          <a:spLocks noChangeAspect="1" noChangeArrowheads="1"/>
        </xdr:cNvSpPr>
      </xdr:nvSpPr>
      <xdr:spPr bwMode="auto">
        <a:xfrm>
          <a:off x="2294283" y="4977848"/>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8132"/>
    <xdr:sp macro="" textlink="">
      <xdr:nvSpPr>
        <xdr:cNvPr id="883" name="AutoShape 20" descr="+">
          <a:extLst>
            <a:ext uri="{FF2B5EF4-FFF2-40B4-BE49-F238E27FC236}">
              <a16:creationId xmlns:a16="http://schemas.microsoft.com/office/drawing/2014/main" id="{6E8FF2B4-D9D4-4482-B94F-189C726B8CF3}"/>
            </a:ext>
          </a:extLst>
        </xdr:cNvPr>
        <xdr:cNvSpPr>
          <a:spLocks noChangeAspect="1" noChangeArrowheads="1"/>
        </xdr:cNvSpPr>
      </xdr:nvSpPr>
      <xdr:spPr bwMode="auto">
        <a:xfrm>
          <a:off x="2294283" y="4977848"/>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12"/>
    <xdr:sp macro="" textlink="">
      <xdr:nvSpPr>
        <xdr:cNvPr id="884" name="AutoShape 21" descr="+">
          <a:extLst>
            <a:ext uri="{FF2B5EF4-FFF2-40B4-BE49-F238E27FC236}">
              <a16:creationId xmlns:a16="http://schemas.microsoft.com/office/drawing/2014/main" id="{4E255201-33B5-496B-AD83-2B12837A80EA}"/>
            </a:ext>
          </a:extLst>
        </xdr:cNvPr>
        <xdr:cNvSpPr>
          <a:spLocks noChangeAspect="1" noChangeArrowheads="1"/>
        </xdr:cNvSpPr>
      </xdr:nvSpPr>
      <xdr:spPr bwMode="auto">
        <a:xfrm>
          <a:off x="2294283" y="4977848"/>
          <a:ext cx="304800" cy="208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07"/>
    <xdr:sp macro="" textlink="">
      <xdr:nvSpPr>
        <xdr:cNvPr id="885" name="AutoShape 22" descr="+">
          <a:extLst>
            <a:ext uri="{FF2B5EF4-FFF2-40B4-BE49-F238E27FC236}">
              <a16:creationId xmlns:a16="http://schemas.microsoft.com/office/drawing/2014/main" id="{A7083444-B933-4ABA-95B4-544B8A4D411D}"/>
            </a:ext>
          </a:extLst>
        </xdr:cNvPr>
        <xdr:cNvSpPr>
          <a:spLocks noChangeAspect="1" noChangeArrowheads="1"/>
        </xdr:cNvSpPr>
      </xdr:nvSpPr>
      <xdr:spPr bwMode="auto">
        <a:xfrm>
          <a:off x="2294283" y="4977848"/>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11"/>
    <xdr:sp macro="" textlink="">
      <xdr:nvSpPr>
        <xdr:cNvPr id="886" name="AutoShape 23" descr="+">
          <a:extLst>
            <a:ext uri="{FF2B5EF4-FFF2-40B4-BE49-F238E27FC236}">
              <a16:creationId xmlns:a16="http://schemas.microsoft.com/office/drawing/2014/main" id="{7B6930BF-E6A8-4845-B7B2-0206A59F3103}"/>
            </a:ext>
          </a:extLst>
        </xdr:cNvPr>
        <xdr:cNvSpPr>
          <a:spLocks noChangeAspect="1" noChangeArrowheads="1"/>
        </xdr:cNvSpPr>
      </xdr:nvSpPr>
      <xdr:spPr bwMode="auto">
        <a:xfrm>
          <a:off x="2294283" y="4977848"/>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8584"/>
    <xdr:sp macro="" textlink="">
      <xdr:nvSpPr>
        <xdr:cNvPr id="887" name="AutoShape 24" descr="+">
          <a:extLst>
            <a:ext uri="{FF2B5EF4-FFF2-40B4-BE49-F238E27FC236}">
              <a16:creationId xmlns:a16="http://schemas.microsoft.com/office/drawing/2014/main" id="{137C7694-E8D5-426E-B3AA-06DEB9918300}"/>
            </a:ext>
          </a:extLst>
        </xdr:cNvPr>
        <xdr:cNvSpPr>
          <a:spLocks noChangeAspect="1" noChangeArrowheads="1"/>
        </xdr:cNvSpPr>
      </xdr:nvSpPr>
      <xdr:spPr bwMode="auto">
        <a:xfrm>
          <a:off x="2294283" y="4977848"/>
          <a:ext cx="304800" cy="1985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10"/>
    <xdr:sp macro="" textlink="">
      <xdr:nvSpPr>
        <xdr:cNvPr id="888" name="AutoShape 25" descr="+">
          <a:extLst>
            <a:ext uri="{FF2B5EF4-FFF2-40B4-BE49-F238E27FC236}">
              <a16:creationId xmlns:a16="http://schemas.microsoft.com/office/drawing/2014/main" id="{42C18A3B-9D80-4309-8A73-B2E2023621CC}"/>
            </a:ext>
          </a:extLst>
        </xdr:cNvPr>
        <xdr:cNvSpPr>
          <a:spLocks noChangeAspect="1" noChangeArrowheads="1"/>
        </xdr:cNvSpPr>
      </xdr:nvSpPr>
      <xdr:spPr bwMode="auto">
        <a:xfrm>
          <a:off x="2294283" y="4977848"/>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10"/>
    <xdr:sp macro="" textlink="">
      <xdr:nvSpPr>
        <xdr:cNvPr id="889" name="AutoShape 26" descr="+">
          <a:extLst>
            <a:ext uri="{FF2B5EF4-FFF2-40B4-BE49-F238E27FC236}">
              <a16:creationId xmlns:a16="http://schemas.microsoft.com/office/drawing/2014/main" id="{BBB0B189-3829-43C7-8F21-8E2BE66B0047}"/>
            </a:ext>
          </a:extLst>
        </xdr:cNvPr>
        <xdr:cNvSpPr>
          <a:spLocks noChangeAspect="1" noChangeArrowheads="1"/>
        </xdr:cNvSpPr>
      </xdr:nvSpPr>
      <xdr:spPr bwMode="auto">
        <a:xfrm>
          <a:off x="2294283" y="4977848"/>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9535"/>
    <xdr:sp macro="" textlink="">
      <xdr:nvSpPr>
        <xdr:cNvPr id="890" name="AutoShape 27" descr="+">
          <a:extLst>
            <a:ext uri="{FF2B5EF4-FFF2-40B4-BE49-F238E27FC236}">
              <a16:creationId xmlns:a16="http://schemas.microsoft.com/office/drawing/2014/main" id="{BAD52370-6A05-4D4F-BD5E-10507A3CD0FF}"/>
            </a:ext>
          </a:extLst>
        </xdr:cNvPr>
        <xdr:cNvSpPr>
          <a:spLocks noChangeAspect="1" noChangeArrowheads="1"/>
        </xdr:cNvSpPr>
      </xdr:nvSpPr>
      <xdr:spPr bwMode="auto">
        <a:xfrm>
          <a:off x="2294283" y="4977848"/>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07"/>
    <xdr:sp macro="" textlink="">
      <xdr:nvSpPr>
        <xdr:cNvPr id="891" name="AutoShape 28" descr="+">
          <a:extLst>
            <a:ext uri="{FF2B5EF4-FFF2-40B4-BE49-F238E27FC236}">
              <a16:creationId xmlns:a16="http://schemas.microsoft.com/office/drawing/2014/main" id="{38A6ED13-B151-47B3-B65F-7990AC6A897A}"/>
            </a:ext>
          </a:extLst>
        </xdr:cNvPr>
        <xdr:cNvSpPr>
          <a:spLocks noChangeAspect="1" noChangeArrowheads="1"/>
        </xdr:cNvSpPr>
      </xdr:nvSpPr>
      <xdr:spPr bwMode="auto">
        <a:xfrm>
          <a:off x="2294283" y="4977848"/>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11"/>
    <xdr:sp macro="" textlink="">
      <xdr:nvSpPr>
        <xdr:cNvPr id="892" name="AutoShape 29" descr="+">
          <a:extLst>
            <a:ext uri="{FF2B5EF4-FFF2-40B4-BE49-F238E27FC236}">
              <a16:creationId xmlns:a16="http://schemas.microsoft.com/office/drawing/2014/main" id="{78A82D90-5EBD-49EA-9331-DFED3523D624}"/>
            </a:ext>
          </a:extLst>
        </xdr:cNvPr>
        <xdr:cNvSpPr>
          <a:spLocks noChangeAspect="1" noChangeArrowheads="1"/>
        </xdr:cNvSpPr>
      </xdr:nvSpPr>
      <xdr:spPr bwMode="auto">
        <a:xfrm>
          <a:off x="2294283" y="4977848"/>
          <a:ext cx="304800" cy="2017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893" name="AutoShape 30" descr="+">
          <a:extLst>
            <a:ext uri="{FF2B5EF4-FFF2-40B4-BE49-F238E27FC236}">
              <a16:creationId xmlns:a16="http://schemas.microsoft.com/office/drawing/2014/main" id="{8A9C64A9-1142-4868-B0A6-8665988E1B12}"/>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894" name="AutoShape 31" descr="+">
          <a:extLst>
            <a:ext uri="{FF2B5EF4-FFF2-40B4-BE49-F238E27FC236}">
              <a16:creationId xmlns:a16="http://schemas.microsoft.com/office/drawing/2014/main" id="{C20268A6-816D-4A15-AE5B-E00880E08A23}"/>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895" name="AutoShape 32" descr="+">
          <a:extLst>
            <a:ext uri="{FF2B5EF4-FFF2-40B4-BE49-F238E27FC236}">
              <a16:creationId xmlns:a16="http://schemas.microsoft.com/office/drawing/2014/main" id="{BCA11AD0-64BE-40C6-A429-9D8BB6719664}"/>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3088"/>
    <xdr:sp macro="" textlink="">
      <xdr:nvSpPr>
        <xdr:cNvPr id="896" name="AutoShape 33" descr="+">
          <a:extLst>
            <a:ext uri="{FF2B5EF4-FFF2-40B4-BE49-F238E27FC236}">
              <a16:creationId xmlns:a16="http://schemas.microsoft.com/office/drawing/2014/main" id="{7422215E-AA8B-4E55-8DBA-997C0A104652}"/>
            </a:ext>
          </a:extLst>
        </xdr:cNvPr>
        <xdr:cNvSpPr>
          <a:spLocks noChangeAspect="1" noChangeArrowheads="1"/>
        </xdr:cNvSpPr>
      </xdr:nvSpPr>
      <xdr:spPr bwMode="auto">
        <a:xfrm>
          <a:off x="2294283" y="4977848"/>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897" name="AutoShape 34" descr="+">
          <a:extLst>
            <a:ext uri="{FF2B5EF4-FFF2-40B4-BE49-F238E27FC236}">
              <a16:creationId xmlns:a16="http://schemas.microsoft.com/office/drawing/2014/main" id="{9E6D20F3-3E4D-4BAF-B4D6-B12FB70ABC25}"/>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898" name="AutoShape 52" descr="+">
          <a:extLst>
            <a:ext uri="{FF2B5EF4-FFF2-40B4-BE49-F238E27FC236}">
              <a16:creationId xmlns:a16="http://schemas.microsoft.com/office/drawing/2014/main" id="{19F261A7-185E-48ED-A187-63FA583403E5}"/>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899" name="AutoShape 53" descr="+">
          <a:extLst>
            <a:ext uri="{FF2B5EF4-FFF2-40B4-BE49-F238E27FC236}">
              <a16:creationId xmlns:a16="http://schemas.microsoft.com/office/drawing/2014/main" id="{DA49EAE7-D41B-4BDB-9BDB-EC4E3A0793EF}"/>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8"/>
    <xdr:sp macro="" textlink="">
      <xdr:nvSpPr>
        <xdr:cNvPr id="900" name="AutoShape 54" descr="+">
          <a:extLst>
            <a:ext uri="{FF2B5EF4-FFF2-40B4-BE49-F238E27FC236}">
              <a16:creationId xmlns:a16="http://schemas.microsoft.com/office/drawing/2014/main" id="{722CF8D9-7A0A-4006-82F3-1F3918671FE2}"/>
            </a:ext>
          </a:extLst>
        </xdr:cNvPr>
        <xdr:cNvSpPr>
          <a:spLocks noChangeAspect="1" noChangeArrowheads="1"/>
        </xdr:cNvSpPr>
      </xdr:nvSpPr>
      <xdr:spPr bwMode="auto">
        <a:xfrm>
          <a:off x="2294283" y="4977848"/>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01" name="AutoShape 55" descr="+">
          <a:extLst>
            <a:ext uri="{FF2B5EF4-FFF2-40B4-BE49-F238E27FC236}">
              <a16:creationId xmlns:a16="http://schemas.microsoft.com/office/drawing/2014/main" id="{DDF8568F-4E27-4BB0-944D-8ED8C2355C5A}"/>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02" name="AutoShape 56" descr="+">
          <a:extLst>
            <a:ext uri="{FF2B5EF4-FFF2-40B4-BE49-F238E27FC236}">
              <a16:creationId xmlns:a16="http://schemas.microsoft.com/office/drawing/2014/main" id="{CC5A1E57-224A-480C-9DF1-ECCC6A99C391}"/>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03" name="AutoShape 57" descr="+">
          <a:extLst>
            <a:ext uri="{FF2B5EF4-FFF2-40B4-BE49-F238E27FC236}">
              <a16:creationId xmlns:a16="http://schemas.microsoft.com/office/drawing/2014/main" id="{812A90EA-C1B3-4679-B7FD-410A1C063CD3}"/>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04" name="AutoShape 58" descr="+">
          <a:extLst>
            <a:ext uri="{FF2B5EF4-FFF2-40B4-BE49-F238E27FC236}">
              <a16:creationId xmlns:a16="http://schemas.microsoft.com/office/drawing/2014/main" id="{AE7F8AFA-D4A5-4406-9172-74598D35AE7B}"/>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6"/>
    <xdr:sp macro="" textlink="">
      <xdr:nvSpPr>
        <xdr:cNvPr id="905" name="AutoShape 59" descr="+">
          <a:extLst>
            <a:ext uri="{FF2B5EF4-FFF2-40B4-BE49-F238E27FC236}">
              <a16:creationId xmlns:a16="http://schemas.microsoft.com/office/drawing/2014/main" id="{14C1285B-4D8C-429F-BCFD-52F500D26A59}"/>
            </a:ext>
          </a:extLst>
        </xdr:cNvPr>
        <xdr:cNvSpPr>
          <a:spLocks noChangeAspect="1" noChangeArrowheads="1"/>
        </xdr:cNvSpPr>
      </xdr:nvSpPr>
      <xdr:spPr bwMode="auto">
        <a:xfrm>
          <a:off x="2294283" y="4977848"/>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7"/>
    <xdr:sp macro="" textlink="">
      <xdr:nvSpPr>
        <xdr:cNvPr id="906" name="AutoShape 60" descr="+">
          <a:extLst>
            <a:ext uri="{FF2B5EF4-FFF2-40B4-BE49-F238E27FC236}">
              <a16:creationId xmlns:a16="http://schemas.microsoft.com/office/drawing/2014/main" id="{1C638A58-AC8C-431D-885C-88C71B6764CE}"/>
            </a:ext>
          </a:extLst>
        </xdr:cNvPr>
        <xdr:cNvSpPr>
          <a:spLocks noChangeAspect="1" noChangeArrowheads="1"/>
        </xdr:cNvSpPr>
      </xdr:nvSpPr>
      <xdr:spPr bwMode="auto">
        <a:xfrm>
          <a:off x="2294283" y="4977848"/>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07" name="AutoShape 61" descr="+">
          <a:extLst>
            <a:ext uri="{FF2B5EF4-FFF2-40B4-BE49-F238E27FC236}">
              <a16:creationId xmlns:a16="http://schemas.microsoft.com/office/drawing/2014/main" id="{1F1A95B4-D971-47A5-BDC0-A97A2E0DFD46}"/>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08" name="AutoShape 62" descr="+">
          <a:extLst>
            <a:ext uri="{FF2B5EF4-FFF2-40B4-BE49-F238E27FC236}">
              <a16:creationId xmlns:a16="http://schemas.microsoft.com/office/drawing/2014/main" id="{8AF3EA12-901B-4E11-8FF2-B21D7635FD83}"/>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09" name="AutoShape 63" descr="+">
          <a:extLst>
            <a:ext uri="{FF2B5EF4-FFF2-40B4-BE49-F238E27FC236}">
              <a16:creationId xmlns:a16="http://schemas.microsoft.com/office/drawing/2014/main" id="{16442F6B-E79E-4D7B-B088-01DB744521DE}"/>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10" name="AutoShape 64" descr="+">
          <a:extLst>
            <a:ext uri="{FF2B5EF4-FFF2-40B4-BE49-F238E27FC236}">
              <a16:creationId xmlns:a16="http://schemas.microsoft.com/office/drawing/2014/main" id="{173C24D7-C63F-4AE1-8D4B-548A94431E4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6"/>
    <xdr:sp macro="" textlink="">
      <xdr:nvSpPr>
        <xdr:cNvPr id="911" name="AutoShape 65" descr="+">
          <a:extLst>
            <a:ext uri="{FF2B5EF4-FFF2-40B4-BE49-F238E27FC236}">
              <a16:creationId xmlns:a16="http://schemas.microsoft.com/office/drawing/2014/main" id="{CCBAB324-8E84-4096-8DE6-631B4DA6C968}"/>
            </a:ext>
          </a:extLst>
        </xdr:cNvPr>
        <xdr:cNvSpPr>
          <a:spLocks noChangeAspect="1" noChangeArrowheads="1"/>
        </xdr:cNvSpPr>
      </xdr:nvSpPr>
      <xdr:spPr bwMode="auto">
        <a:xfrm>
          <a:off x="2294283" y="4977848"/>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12" name="AutoShape 66" descr="+">
          <a:extLst>
            <a:ext uri="{FF2B5EF4-FFF2-40B4-BE49-F238E27FC236}">
              <a16:creationId xmlns:a16="http://schemas.microsoft.com/office/drawing/2014/main" id="{B2C3571C-489A-4405-83BF-52A62EA8CBEF}"/>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8"/>
    <xdr:sp macro="" textlink="">
      <xdr:nvSpPr>
        <xdr:cNvPr id="913" name="AutoShape 67" descr="+">
          <a:extLst>
            <a:ext uri="{FF2B5EF4-FFF2-40B4-BE49-F238E27FC236}">
              <a16:creationId xmlns:a16="http://schemas.microsoft.com/office/drawing/2014/main" id="{11B5801F-B474-43E5-BB30-7F34FB9590AD}"/>
            </a:ext>
          </a:extLst>
        </xdr:cNvPr>
        <xdr:cNvSpPr>
          <a:spLocks noChangeAspect="1" noChangeArrowheads="1"/>
        </xdr:cNvSpPr>
      </xdr:nvSpPr>
      <xdr:spPr bwMode="auto">
        <a:xfrm>
          <a:off x="2294283" y="4977848"/>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8"/>
    <xdr:sp macro="" textlink="">
      <xdr:nvSpPr>
        <xdr:cNvPr id="914" name="AutoShape 68" descr="+">
          <a:extLst>
            <a:ext uri="{FF2B5EF4-FFF2-40B4-BE49-F238E27FC236}">
              <a16:creationId xmlns:a16="http://schemas.microsoft.com/office/drawing/2014/main" id="{C4A8FEC2-6013-41F6-AFC0-CAB53118E90F}"/>
            </a:ext>
          </a:extLst>
        </xdr:cNvPr>
        <xdr:cNvSpPr>
          <a:spLocks noChangeAspect="1" noChangeArrowheads="1"/>
        </xdr:cNvSpPr>
      </xdr:nvSpPr>
      <xdr:spPr bwMode="auto">
        <a:xfrm>
          <a:off x="2294283" y="4977848"/>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15" name="AutoShape 69" descr="+">
          <a:extLst>
            <a:ext uri="{FF2B5EF4-FFF2-40B4-BE49-F238E27FC236}">
              <a16:creationId xmlns:a16="http://schemas.microsoft.com/office/drawing/2014/main" id="{73BE73B8-5B58-4E40-8A62-C255537D10DB}"/>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916" name="AutoShape 70" descr="+">
          <a:extLst>
            <a:ext uri="{FF2B5EF4-FFF2-40B4-BE49-F238E27FC236}">
              <a16:creationId xmlns:a16="http://schemas.microsoft.com/office/drawing/2014/main" id="{D6BCE4CF-9435-43EF-83E2-C2886C43DDBD}"/>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2"/>
    <xdr:sp macro="" textlink="">
      <xdr:nvSpPr>
        <xdr:cNvPr id="917" name="AutoShape 71" descr="+">
          <a:extLst>
            <a:ext uri="{FF2B5EF4-FFF2-40B4-BE49-F238E27FC236}">
              <a16:creationId xmlns:a16="http://schemas.microsoft.com/office/drawing/2014/main" id="{2FD28CD2-E26B-4515-9AE4-4DB1064C17F4}"/>
            </a:ext>
          </a:extLst>
        </xdr:cNvPr>
        <xdr:cNvSpPr>
          <a:spLocks noChangeAspect="1" noChangeArrowheads="1"/>
        </xdr:cNvSpPr>
      </xdr:nvSpPr>
      <xdr:spPr bwMode="auto">
        <a:xfrm>
          <a:off x="2294283" y="4977848"/>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18" name="AutoShape 72" descr="+">
          <a:extLst>
            <a:ext uri="{FF2B5EF4-FFF2-40B4-BE49-F238E27FC236}">
              <a16:creationId xmlns:a16="http://schemas.microsoft.com/office/drawing/2014/main" id="{480A134E-FF29-4132-B4F9-46C08A4D8960}"/>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19" name="AutoShape 73" descr="+">
          <a:extLst>
            <a:ext uri="{FF2B5EF4-FFF2-40B4-BE49-F238E27FC236}">
              <a16:creationId xmlns:a16="http://schemas.microsoft.com/office/drawing/2014/main" id="{DC78BECB-334B-46A2-8DDF-ECD06DB718F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20" name="AutoShape 74" descr="+">
          <a:extLst>
            <a:ext uri="{FF2B5EF4-FFF2-40B4-BE49-F238E27FC236}">
              <a16:creationId xmlns:a16="http://schemas.microsoft.com/office/drawing/2014/main" id="{AC8621B8-B2B5-458E-A6CB-F1949DAFDDD5}"/>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21" name="AutoShape 75" descr="+">
          <a:extLst>
            <a:ext uri="{FF2B5EF4-FFF2-40B4-BE49-F238E27FC236}">
              <a16:creationId xmlns:a16="http://schemas.microsoft.com/office/drawing/2014/main" id="{20014200-32FB-4390-8803-1D6102EB1892}"/>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22" name="AutoShape 76" descr="+">
          <a:extLst>
            <a:ext uri="{FF2B5EF4-FFF2-40B4-BE49-F238E27FC236}">
              <a16:creationId xmlns:a16="http://schemas.microsoft.com/office/drawing/2014/main" id="{08E1D9A4-6AF5-4B3B-9054-B379317746BA}"/>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23" name="AutoShape 77" descr="+">
          <a:extLst>
            <a:ext uri="{FF2B5EF4-FFF2-40B4-BE49-F238E27FC236}">
              <a16:creationId xmlns:a16="http://schemas.microsoft.com/office/drawing/2014/main" id="{307EDFFC-A43F-4455-A201-274A26FE933E}"/>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24" name="AutoShape 78" descr="+">
          <a:extLst>
            <a:ext uri="{FF2B5EF4-FFF2-40B4-BE49-F238E27FC236}">
              <a16:creationId xmlns:a16="http://schemas.microsoft.com/office/drawing/2014/main" id="{831283E0-CED1-41D5-804B-25AED006A7E5}"/>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9"/>
    <xdr:sp macro="" textlink="">
      <xdr:nvSpPr>
        <xdr:cNvPr id="925" name="AutoShape 79" descr="+">
          <a:extLst>
            <a:ext uri="{FF2B5EF4-FFF2-40B4-BE49-F238E27FC236}">
              <a16:creationId xmlns:a16="http://schemas.microsoft.com/office/drawing/2014/main" id="{248FEBBE-A77E-4F47-8EF9-7F4613CCAF4B}"/>
            </a:ext>
          </a:extLst>
        </xdr:cNvPr>
        <xdr:cNvSpPr>
          <a:spLocks noChangeAspect="1" noChangeArrowheads="1"/>
        </xdr:cNvSpPr>
      </xdr:nvSpPr>
      <xdr:spPr bwMode="auto">
        <a:xfrm>
          <a:off x="2294283" y="4977848"/>
          <a:ext cx="304800" cy="1666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8"/>
    <xdr:sp macro="" textlink="">
      <xdr:nvSpPr>
        <xdr:cNvPr id="926" name="AutoShape 80" descr="+">
          <a:extLst>
            <a:ext uri="{FF2B5EF4-FFF2-40B4-BE49-F238E27FC236}">
              <a16:creationId xmlns:a16="http://schemas.microsoft.com/office/drawing/2014/main" id="{CDC27D41-5550-4960-9E59-E070A66C7616}"/>
            </a:ext>
          </a:extLst>
        </xdr:cNvPr>
        <xdr:cNvSpPr>
          <a:spLocks noChangeAspect="1" noChangeArrowheads="1"/>
        </xdr:cNvSpPr>
      </xdr:nvSpPr>
      <xdr:spPr bwMode="auto">
        <a:xfrm>
          <a:off x="2294283" y="4977848"/>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655"/>
    <xdr:sp macro="" textlink="">
      <xdr:nvSpPr>
        <xdr:cNvPr id="927" name="AutoShape 81" descr="+">
          <a:extLst>
            <a:ext uri="{FF2B5EF4-FFF2-40B4-BE49-F238E27FC236}">
              <a16:creationId xmlns:a16="http://schemas.microsoft.com/office/drawing/2014/main" id="{A4477C80-5E58-42FC-BAE2-3BDB3C081353}"/>
            </a:ext>
          </a:extLst>
        </xdr:cNvPr>
        <xdr:cNvSpPr>
          <a:spLocks noChangeAspect="1" noChangeArrowheads="1"/>
        </xdr:cNvSpPr>
      </xdr:nvSpPr>
      <xdr:spPr bwMode="auto">
        <a:xfrm>
          <a:off x="2294283" y="4977848"/>
          <a:ext cx="304800" cy="1816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8"/>
    <xdr:sp macro="" textlink="">
      <xdr:nvSpPr>
        <xdr:cNvPr id="928" name="AutoShape 82" descr="+">
          <a:extLst>
            <a:ext uri="{FF2B5EF4-FFF2-40B4-BE49-F238E27FC236}">
              <a16:creationId xmlns:a16="http://schemas.microsoft.com/office/drawing/2014/main" id="{3EBA9341-7A54-40FF-A97F-6E3903A78C11}"/>
            </a:ext>
          </a:extLst>
        </xdr:cNvPr>
        <xdr:cNvSpPr>
          <a:spLocks noChangeAspect="1" noChangeArrowheads="1"/>
        </xdr:cNvSpPr>
      </xdr:nvSpPr>
      <xdr:spPr bwMode="auto">
        <a:xfrm>
          <a:off x="2294283" y="4977848"/>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71"/>
    <xdr:sp macro="" textlink="">
      <xdr:nvSpPr>
        <xdr:cNvPr id="929" name="AutoShape 83" descr="+">
          <a:extLst>
            <a:ext uri="{FF2B5EF4-FFF2-40B4-BE49-F238E27FC236}">
              <a16:creationId xmlns:a16="http://schemas.microsoft.com/office/drawing/2014/main" id="{C521AD28-FF87-4AD6-A7AD-F46B821C8550}"/>
            </a:ext>
          </a:extLst>
        </xdr:cNvPr>
        <xdr:cNvSpPr>
          <a:spLocks noChangeAspect="1" noChangeArrowheads="1"/>
        </xdr:cNvSpPr>
      </xdr:nvSpPr>
      <xdr:spPr bwMode="auto">
        <a:xfrm>
          <a:off x="2294283" y="4977848"/>
          <a:ext cx="304800" cy="20547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9"/>
    <xdr:sp macro="" textlink="">
      <xdr:nvSpPr>
        <xdr:cNvPr id="930" name="AutoShape 84" descr="+">
          <a:extLst>
            <a:ext uri="{FF2B5EF4-FFF2-40B4-BE49-F238E27FC236}">
              <a16:creationId xmlns:a16="http://schemas.microsoft.com/office/drawing/2014/main" id="{CED47707-EBFF-4B4C-A1A9-12E8A1FD94C9}"/>
            </a:ext>
          </a:extLst>
        </xdr:cNvPr>
        <xdr:cNvSpPr>
          <a:spLocks noChangeAspect="1" noChangeArrowheads="1"/>
        </xdr:cNvSpPr>
      </xdr:nvSpPr>
      <xdr:spPr bwMode="auto">
        <a:xfrm>
          <a:off x="2294283" y="4977848"/>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8"/>
    <xdr:sp macro="" textlink="">
      <xdr:nvSpPr>
        <xdr:cNvPr id="931" name="AutoShape 85" descr="+">
          <a:extLst>
            <a:ext uri="{FF2B5EF4-FFF2-40B4-BE49-F238E27FC236}">
              <a16:creationId xmlns:a16="http://schemas.microsoft.com/office/drawing/2014/main" id="{C4121FF9-F96D-4897-A8C7-6258C139DFA6}"/>
            </a:ext>
          </a:extLst>
        </xdr:cNvPr>
        <xdr:cNvSpPr>
          <a:spLocks noChangeAspect="1" noChangeArrowheads="1"/>
        </xdr:cNvSpPr>
      </xdr:nvSpPr>
      <xdr:spPr bwMode="auto">
        <a:xfrm>
          <a:off x="2294283" y="4977848"/>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8"/>
    <xdr:sp macro="" textlink="">
      <xdr:nvSpPr>
        <xdr:cNvPr id="932" name="AutoShape 86" descr="+">
          <a:extLst>
            <a:ext uri="{FF2B5EF4-FFF2-40B4-BE49-F238E27FC236}">
              <a16:creationId xmlns:a16="http://schemas.microsoft.com/office/drawing/2014/main" id="{CAAB2B8E-4516-4C4A-91DC-6866136F587F}"/>
            </a:ext>
          </a:extLst>
        </xdr:cNvPr>
        <xdr:cNvSpPr>
          <a:spLocks noChangeAspect="1" noChangeArrowheads="1"/>
        </xdr:cNvSpPr>
      </xdr:nvSpPr>
      <xdr:spPr bwMode="auto">
        <a:xfrm>
          <a:off x="2294283" y="4977848"/>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9"/>
    <xdr:sp macro="" textlink="">
      <xdr:nvSpPr>
        <xdr:cNvPr id="933" name="AutoShape 87" descr="+">
          <a:extLst>
            <a:ext uri="{FF2B5EF4-FFF2-40B4-BE49-F238E27FC236}">
              <a16:creationId xmlns:a16="http://schemas.microsoft.com/office/drawing/2014/main" id="{3858CF9D-1891-4688-8F69-55308E45F8FB}"/>
            </a:ext>
          </a:extLst>
        </xdr:cNvPr>
        <xdr:cNvSpPr>
          <a:spLocks noChangeAspect="1" noChangeArrowheads="1"/>
        </xdr:cNvSpPr>
      </xdr:nvSpPr>
      <xdr:spPr bwMode="auto">
        <a:xfrm>
          <a:off x="2294283" y="4977848"/>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9"/>
    <xdr:sp macro="" textlink="">
      <xdr:nvSpPr>
        <xdr:cNvPr id="934" name="AutoShape 88" descr="+">
          <a:extLst>
            <a:ext uri="{FF2B5EF4-FFF2-40B4-BE49-F238E27FC236}">
              <a16:creationId xmlns:a16="http://schemas.microsoft.com/office/drawing/2014/main" id="{6D79B90D-D536-4B1E-B672-B31BFFAD5572}"/>
            </a:ext>
          </a:extLst>
        </xdr:cNvPr>
        <xdr:cNvSpPr>
          <a:spLocks noChangeAspect="1" noChangeArrowheads="1"/>
        </xdr:cNvSpPr>
      </xdr:nvSpPr>
      <xdr:spPr bwMode="auto">
        <a:xfrm>
          <a:off x="2294283" y="4977848"/>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70"/>
    <xdr:sp macro="" textlink="">
      <xdr:nvSpPr>
        <xdr:cNvPr id="935" name="AutoShape 89" descr="+">
          <a:extLst>
            <a:ext uri="{FF2B5EF4-FFF2-40B4-BE49-F238E27FC236}">
              <a16:creationId xmlns:a16="http://schemas.microsoft.com/office/drawing/2014/main" id="{8677FBF9-FAA2-449B-AAE4-60CF182E2DD4}"/>
            </a:ext>
          </a:extLst>
        </xdr:cNvPr>
        <xdr:cNvSpPr>
          <a:spLocks noChangeAspect="1" noChangeArrowheads="1"/>
        </xdr:cNvSpPr>
      </xdr:nvSpPr>
      <xdr:spPr bwMode="auto">
        <a:xfrm>
          <a:off x="2294283" y="4977848"/>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7"/>
    <xdr:sp macro="" textlink="">
      <xdr:nvSpPr>
        <xdr:cNvPr id="936" name="AutoShape 90" descr="+">
          <a:extLst>
            <a:ext uri="{FF2B5EF4-FFF2-40B4-BE49-F238E27FC236}">
              <a16:creationId xmlns:a16="http://schemas.microsoft.com/office/drawing/2014/main" id="{AB6EF8B2-64F2-4872-9664-C446E018836F}"/>
            </a:ext>
          </a:extLst>
        </xdr:cNvPr>
        <xdr:cNvSpPr>
          <a:spLocks noChangeAspect="1" noChangeArrowheads="1"/>
        </xdr:cNvSpPr>
      </xdr:nvSpPr>
      <xdr:spPr bwMode="auto">
        <a:xfrm>
          <a:off x="2294283" y="4977848"/>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6629"/>
    <xdr:sp macro="" textlink="">
      <xdr:nvSpPr>
        <xdr:cNvPr id="937" name="AutoShape 91" descr="+">
          <a:extLst>
            <a:ext uri="{FF2B5EF4-FFF2-40B4-BE49-F238E27FC236}">
              <a16:creationId xmlns:a16="http://schemas.microsoft.com/office/drawing/2014/main" id="{B907F5B7-7A51-4D19-9A12-AF636F727790}"/>
            </a:ext>
          </a:extLst>
        </xdr:cNvPr>
        <xdr:cNvSpPr>
          <a:spLocks noChangeAspect="1" noChangeArrowheads="1"/>
        </xdr:cNvSpPr>
      </xdr:nvSpPr>
      <xdr:spPr bwMode="auto">
        <a:xfrm>
          <a:off x="2294283" y="4977848"/>
          <a:ext cx="304800" cy="306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450"/>
    <xdr:sp macro="" textlink="">
      <xdr:nvSpPr>
        <xdr:cNvPr id="938" name="AutoShape 92" descr="+">
          <a:extLst>
            <a:ext uri="{FF2B5EF4-FFF2-40B4-BE49-F238E27FC236}">
              <a16:creationId xmlns:a16="http://schemas.microsoft.com/office/drawing/2014/main" id="{600E9DBC-7639-4465-AD6E-960AF8DF9D0A}"/>
            </a:ext>
          </a:extLst>
        </xdr:cNvPr>
        <xdr:cNvSpPr>
          <a:spLocks noChangeAspect="1" noChangeArrowheads="1"/>
        </xdr:cNvSpPr>
      </xdr:nvSpPr>
      <xdr:spPr bwMode="auto">
        <a:xfrm>
          <a:off x="2294283" y="4977848"/>
          <a:ext cx="30480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70"/>
    <xdr:sp macro="" textlink="">
      <xdr:nvSpPr>
        <xdr:cNvPr id="939" name="AutoShape 93" descr="+">
          <a:extLst>
            <a:ext uri="{FF2B5EF4-FFF2-40B4-BE49-F238E27FC236}">
              <a16:creationId xmlns:a16="http://schemas.microsoft.com/office/drawing/2014/main" id="{7E2B3C8F-DAA7-4B06-8D75-24C4B25A4D11}"/>
            </a:ext>
          </a:extLst>
        </xdr:cNvPr>
        <xdr:cNvSpPr>
          <a:spLocks noChangeAspect="1" noChangeArrowheads="1"/>
        </xdr:cNvSpPr>
      </xdr:nvSpPr>
      <xdr:spPr bwMode="auto">
        <a:xfrm>
          <a:off x="2294283" y="4977848"/>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70"/>
    <xdr:sp macro="" textlink="">
      <xdr:nvSpPr>
        <xdr:cNvPr id="940" name="AutoShape 94" descr="+">
          <a:extLst>
            <a:ext uri="{FF2B5EF4-FFF2-40B4-BE49-F238E27FC236}">
              <a16:creationId xmlns:a16="http://schemas.microsoft.com/office/drawing/2014/main" id="{655D7DCA-AAF5-4B30-BE15-82B7B30B40C7}"/>
            </a:ext>
          </a:extLst>
        </xdr:cNvPr>
        <xdr:cNvSpPr>
          <a:spLocks noChangeAspect="1" noChangeArrowheads="1"/>
        </xdr:cNvSpPr>
      </xdr:nvSpPr>
      <xdr:spPr bwMode="auto">
        <a:xfrm>
          <a:off x="2294283" y="4977848"/>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8"/>
    <xdr:sp macro="" textlink="">
      <xdr:nvSpPr>
        <xdr:cNvPr id="941" name="AutoShape 95" descr="+">
          <a:extLst>
            <a:ext uri="{FF2B5EF4-FFF2-40B4-BE49-F238E27FC236}">
              <a16:creationId xmlns:a16="http://schemas.microsoft.com/office/drawing/2014/main" id="{A61B3811-9F43-4D42-AF4B-05736FA3D5A0}"/>
            </a:ext>
          </a:extLst>
        </xdr:cNvPr>
        <xdr:cNvSpPr>
          <a:spLocks noChangeAspect="1" noChangeArrowheads="1"/>
        </xdr:cNvSpPr>
      </xdr:nvSpPr>
      <xdr:spPr bwMode="auto">
        <a:xfrm>
          <a:off x="2294283" y="4977848"/>
          <a:ext cx="304800" cy="200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42" name="AutoShape 96" descr="+">
          <a:extLst>
            <a:ext uri="{FF2B5EF4-FFF2-40B4-BE49-F238E27FC236}">
              <a16:creationId xmlns:a16="http://schemas.microsoft.com/office/drawing/2014/main" id="{9AF2296B-1B46-46AF-B70D-4118BD8D2282}"/>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43" name="AutoShape 97" descr="+">
          <a:extLst>
            <a:ext uri="{FF2B5EF4-FFF2-40B4-BE49-F238E27FC236}">
              <a16:creationId xmlns:a16="http://schemas.microsoft.com/office/drawing/2014/main" id="{A899D418-80D9-43E6-B599-CD005E283E11}"/>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944" name="AutoShape 98" descr="+">
          <a:extLst>
            <a:ext uri="{FF2B5EF4-FFF2-40B4-BE49-F238E27FC236}">
              <a16:creationId xmlns:a16="http://schemas.microsoft.com/office/drawing/2014/main" id="{1A167419-B4D1-40B6-9847-6A61F6D4AC10}"/>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945" name="AutoShape 99" descr="+">
          <a:extLst>
            <a:ext uri="{FF2B5EF4-FFF2-40B4-BE49-F238E27FC236}">
              <a16:creationId xmlns:a16="http://schemas.microsoft.com/office/drawing/2014/main" id="{FF90775E-A34D-4789-A596-051DF6EEA933}"/>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6"/>
    <xdr:sp macro="" textlink="">
      <xdr:nvSpPr>
        <xdr:cNvPr id="946" name="AutoShape 100" descr="+">
          <a:extLst>
            <a:ext uri="{FF2B5EF4-FFF2-40B4-BE49-F238E27FC236}">
              <a16:creationId xmlns:a16="http://schemas.microsoft.com/office/drawing/2014/main" id="{45AF6F6B-BC2D-4E47-85BC-8F0E2641969A}"/>
            </a:ext>
          </a:extLst>
        </xdr:cNvPr>
        <xdr:cNvSpPr>
          <a:spLocks noChangeAspect="1" noChangeArrowheads="1"/>
        </xdr:cNvSpPr>
      </xdr:nvSpPr>
      <xdr:spPr bwMode="auto">
        <a:xfrm>
          <a:off x="2294283" y="4977848"/>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47" name="AutoShape 101" descr="+">
          <a:extLst>
            <a:ext uri="{FF2B5EF4-FFF2-40B4-BE49-F238E27FC236}">
              <a16:creationId xmlns:a16="http://schemas.microsoft.com/office/drawing/2014/main" id="{186BAED8-0843-4957-A2DB-D2D3FCED8588}"/>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48" name="AutoShape 102" descr="+">
          <a:extLst>
            <a:ext uri="{FF2B5EF4-FFF2-40B4-BE49-F238E27FC236}">
              <a16:creationId xmlns:a16="http://schemas.microsoft.com/office/drawing/2014/main" id="{FF21BA14-D2AD-44AD-B524-8ECDE9554251}"/>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949" name="AutoShape 103" descr="+">
          <a:extLst>
            <a:ext uri="{FF2B5EF4-FFF2-40B4-BE49-F238E27FC236}">
              <a16:creationId xmlns:a16="http://schemas.microsoft.com/office/drawing/2014/main" id="{25A734F4-17FE-4EB2-88AB-6924AB1B4037}"/>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50" name="AutoShape 104" descr="+">
          <a:extLst>
            <a:ext uri="{FF2B5EF4-FFF2-40B4-BE49-F238E27FC236}">
              <a16:creationId xmlns:a16="http://schemas.microsoft.com/office/drawing/2014/main" id="{77546A60-7F35-4EA1-AD19-50E8457C1B0B}"/>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2133"/>
    <xdr:sp macro="" textlink="">
      <xdr:nvSpPr>
        <xdr:cNvPr id="951" name="AutoShape 105" descr="+">
          <a:extLst>
            <a:ext uri="{FF2B5EF4-FFF2-40B4-BE49-F238E27FC236}">
              <a16:creationId xmlns:a16="http://schemas.microsoft.com/office/drawing/2014/main" id="{D72C275D-9461-4878-8113-1A8A4EB41E96}"/>
            </a:ext>
          </a:extLst>
        </xdr:cNvPr>
        <xdr:cNvSpPr>
          <a:spLocks noChangeAspect="1" noChangeArrowheads="1"/>
        </xdr:cNvSpPr>
      </xdr:nvSpPr>
      <xdr:spPr bwMode="auto">
        <a:xfrm>
          <a:off x="2294283" y="4977848"/>
          <a:ext cx="304800" cy="172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5"/>
    <xdr:sp macro="" textlink="">
      <xdr:nvSpPr>
        <xdr:cNvPr id="952" name="AutoShape 106" descr="+">
          <a:extLst>
            <a:ext uri="{FF2B5EF4-FFF2-40B4-BE49-F238E27FC236}">
              <a16:creationId xmlns:a16="http://schemas.microsoft.com/office/drawing/2014/main" id="{78CC5B1B-AB4C-481E-BC11-3FBCBE5A2334}"/>
            </a:ext>
          </a:extLst>
        </xdr:cNvPr>
        <xdr:cNvSpPr>
          <a:spLocks noChangeAspect="1" noChangeArrowheads="1"/>
        </xdr:cNvSpPr>
      </xdr:nvSpPr>
      <xdr:spPr bwMode="auto">
        <a:xfrm>
          <a:off x="2294283" y="4977848"/>
          <a:ext cx="304800" cy="200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0"/>
    <xdr:sp macro="" textlink="">
      <xdr:nvSpPr>
        <xdr:cNvPr id="953" name="AutoShape 107" descr="+">
          <a:extLst>
            <a:ext uri="{FF2B5EF4-FFF2-40B4-BE49-F238E27FC236}">
              <a16:creationId xmlns:a16="http://schemas.microsoft.com/office/drawing/2014/main" id="{ADE34452-D5E8-4FF6-9F3D-E27FF57367D3}"/>
            </a:ext>
          </a:extLst>
        </xdr:cNvPr>
        <xdr:cNvSpPr>
          <a:spLocks noChangeAspect="1" noChangeArrowheads="1"/>
        </xdr:cNvSpPr>
      </xdr:nvSpPr>
      <xdr:spPr bwMode="auto">
        <a:xfrm>
          <a:off x="2294283" y="4977848"/>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54" name="AutoShape 108" descr="+">
          <a:extLst>
            <a:ext uri="{FF2B5EF4-FFF2-40B4-BE49-F238E27FC236}">
              <a16:creationId xmlns:a16="http://schemas.microsoft.com/office/drawing/2014/main" id="{7D996BC1-CF72-48FF-80A8-41BB1A6BB8B1}"/>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955" name="AutoShape 109" descr="+">
          <a:extLst>
            <a:ext uri="{FF2B5EF4-FFF2-40B4-BE49-F238E27FC236}">
              <a16:creationId xmlns:a16="http://schemas.microsoft.com/office/drawing/2014/main" id="{2AF719E0-4B5B-4FE4-9CBA-6AF6E148A8C1}"/>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56" name="AutoShape 110" descr="+">
          <a:extLst>
            <a:ext uri="{FF2B5EF4-FFF2-40B4-BE49-F238E27FC236}">
              <a16:creationId xmlns:a16="http://schemas.microsoft.com/office/drawing/2014/main" id="{A11C7241-9FBD-4B9D-9F12-7092675EE105}"/>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57" name="AutoShape 111" descr="+">
          <a:extLst>
            <a:ext uri="{FF2B5EF4-FFF2-40B4-BE49-F238E27FC236}">
              <a16:creationId xmlns:a16="http://schemas.microsoft.com/office/drawing/2014/main" id="{5792BFE0-AB47-4AC2-97A9-E0C396B2A669}"/>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58" name="AutoShape 112" descr="+">
          <a:extLst>
            <a:ext uri="{FF2B5EF4-FFF2-40B4-BE49-F238E27FC236}">
              <a16:creationId xmlns:a16="http://schemas.microsoft.com/office/drawing/2014/main" id="{84B495A3-86EE-4DBE-8B8A-E2764F128F59}"/>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58"/>
    <xdr:sp macro="" textlink="">
      <xdr:nvSpPr>
        <xdr:cNvPr id="959" name="AutoShape 113" descr="+">
          <a:extLst>
            <a:ext uri="{FF2B5EF4-FFF2-40B4-BE49-F238E27FC236}">
              <a16:creationId xmlns:a16="http://schemas.microsoft.com/office/drawing/2014/main" id="{A5F32EE4-6339-4FAD-B1F6-348BB9116C35}"/>
            </a:ext>
          </a:extLst>
        </xdr:cNvPr>
        <xdr:cNvSpPr>
          <a:spLocks noChangeAspect="1" noChangeArrowheads="1"/>
        </xdr:cNvSpPr>
      </xdr:nvSpPr>
      <xdr:spPr bwMode="auto">
        <a:xfrm>
          <a:off x="2294283" y="4977848"/>
          <a:ext cx="304800" cy="1914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60" name="AutoShape 114" descr="+">
          <a:extLst>
            <a:ext uri="{FF2B5EF4-FFF2-40B4-BE49-F238E27FC236}">
              <a16:creationId xmlns:a16="http://schemas.microsoft.com/office/drawing/2014/main" id="{5CE45EEE-8DD6-4DDD-8050-0A0A7B2F0A65}"/>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61" name="AutoShape 115" descr="+">
          <a:extLst>
            <a:ext uri="{FF2B5EF4-FFF2-40B4-BE49-F238E27FC236}">
              <a16:creationId xmlns:a16="http://schemas.microsoft.com/office/drawing/2014/main" id="{165B0480-CA96-471E-BE97-5FAA056BDE42}"/>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62" name="AutoShape 116" descr="+">
          <a:extLst>
            <a:ext uri="{FF2B5EF4-FFF2-40B4-BE49-F238E27FC236}">
              <a16:creationId xmlns:a16="http://schemas.microsoft.com/office/drawing/2014/main" id="{8714C941-93EA-42F5-8BB4-A7FDD941ACE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63" name="AutoShape 117" descr="+">
          <a:extLst>
            <a:ext uri="{FF2B5EF4-FFF2-40B4-BE49-F238E27FC236}">
              <a16:creationId xmlns:a16="http://schemas.microsoft.com/office/drawing/2014/main" id="{55181EC4-A21E-4455-AAE3-DDD325504895}"/>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64" name="AutoShape 118" descr="+">
          <a:extLst>
            <a:ext uri="{FF2B5EF4-FFF2-40B4-BE49-F238E27FC236}">
              <a16:creationId xmlns:a16="http://schemas.microsoft.com/office/drawing/2014/main" id="{1F62478C-0835-4EB4-ACD4-378BCF3301C7}"/>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65" name="AutoShape 119" descr="+">
          <a:extLst>
            <a:ext uri="{FF2B5EF4-FFF2-40B4-BE49-F238E27FC236}">
              <a16:creationId xmlns:a16="http://schemas.microsoft.com/office/drawing/2014/main" id="{47C080E4-1EA3-45D0-BA75-60419A324753}"/>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66" name="AutoShape 120" descr="+">
          <a:extLst>
            <a:ext uri="{FF2B5EF4-FFF2-40B4-BE49-F238E27FC236}">
              <a16:creationId xmlns:a16="http://schemas.microsoft.com/office/drawing/2014/main" id="{8D559D7C-5664-45F3-803A-4B947CFBAF81}"/>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67" name="AutoShape 121" descr="+">
          <a:extLst>
            <a:ext uri="{FF2B5EF4-FFF2-40B4-BE49-F238E27FC236}">
              <a16:creationId xmlns:a16="http://schemas.microsoft.com/office/drawing/2014/main" id="{6F485EAD-6150-4656-8ED6-BEB61B2E0ED4}"/>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968" name="AutoShape 122" descr="+">
          <a:extLst>
            <a:ext uri="{FF2B5EF4-FFF2-40B4-BE49-F238E27FC236}">
              <a16:creationId xmlns:a16="http://schemas.microsoft.com/office/drawing/2014/main" id="{61191A00-CA81-4D47-80AA-A82D42E56950}"/>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969" name="AutoShape 123" descr="+">
          <a:extLst>
            <a:ext uri="{FF2B5EF4-FFF2-40B4-BE49-F238E27FC236}">
              <a16:creationId xmlns:a16="http://schemas.microsoft.com/office/drawing/2014/main" id="{81091A15-B741-4DBB-B5FE-C4BCF3D43D52}"/>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70" name="AutoShape 124" descr="+">
          <a:extLst>
            <a:ext uri="{FF2B5EF4-FFF2-40B4-BE49-F238E27FC236}">
              <a16:creationId xmlns:a16="http://schemas.microsoft.com/office/drawing/2014/main" id="{D66C6281-8D0C-418C-AEC0-A7FDCF53CD96}"/>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71" name="AutoShape 125" descr="+">
          <a:extLst>
            <a:ext uri="{FF2B5EF4-FFF2-40B4-BE49-F238E27FC236}">
              <a16:creationId xmlns:a16="http://schemas.microsoft.com/office/drawing/2014/main" id="{45B7D41A-524E-4E4A-8F88-C389419638A2}"/>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72" name="AutoShape 126" descr="+">
          <a:extLst>
            <a:ext uri="{FF2B5EF4-FFF2-40B4-BE49-F238E27FC236}">
              <a16:creationId xmlns:a16="http://schemas.microsoft.com/office/drawing/2014/main" id="{B04AFBFA-A842-4839-877A-1EAC1847971B}"/>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3088"/>
    <xdr:sp macro="" textlink="">
      <xdr:nvSpPr>
        <xdr:cNvPr id="973" name="AutoShape 127" descr="+">
          <a:extLst>
            <a:ext uri="{FF2B5EF4-FFF2-40B4-BE49-F238E27FC236}">
              <a16:creationId xmlns:a16="http://schemas.microsoft.com/office/drawing/2014/main" id="{EF755071-51FA-4787-8E2C-EB2164FF8F0D}"/>
            </a:ext>
          </a:extLst>
        </xdr:cNvPr>
        <xdr:cNvSpPr>
          <a:spLocks noChangeAspect="1" noChangeArrowheads="1"/>
        </xdr:cNvSpPr>
      </xdr:nvSpPr>
      <xdr:spPr bwMode="auto">
        <a:xfrm>
          <a:off x="2294283" y="4977848"/>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3089"/>
    <xdr:sp macro="" textlink="">
      <xdr:nvSpPr>
        <xdr:cNvPr id="974" name="AutoShape 128" descr="+">
          <a:extLst>
            <a:ext uri="{FF2B5EF4-FFF2-40B4-BE49-F238E27FC236}">
              <a16:creationId xmlns:a16="http://schemas.microsoft.com/office/drawing/2014/main" id="{149DF14B-8F5E-4794-BCCB-3F53C29F4B2B}"/>
            </a:ext>
          </a:extLst>
        </xdr:cNvPr>
        <xdr:cNvSpPr>
          <a:spLocks noChangeAspect="1" noChangeArrowheads="1"/>
        </xdr:cNvSpPr>
      </xdr:nvSpPr>
      <xdr:spPr bwMode="auto">
        <a:xfrm>
          <a:off x="2294283" y="4977848"/>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75" name="AutoShape 129" descr="+">
          <a:extLst>
            <a:ext uri="{FF2B5EF4-FFF2-40B4-BE49-F238E27FC236}">
              <a16:creationId xmlns:a16="http://schemas.microsoft.com/office/drawing/2014/main" id="{019EE247-A1D7-484E-9866-9F9A15FCB249}"/>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76" name="AutoShape 130" descr="+">
          <a:extLst>
            <a:ext uri="{FF2B5EF4-FFF2-40B4-BE49-F238E27FC236}">
              <a16:creationId xmlns:a16="http://schemas.microsoft.com/office/drawing/2014/main" id="{48E0C4BB-ACD7-4E0D-9006-06B91919ADF5}"/>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77" name="AutoShape 131" descr="+">
          <a:extLst>
            <a:ext uri="{FF2B5EF4-FFF2-40B4-BE49-F238E27FC236}">
              <a16:creationId xmlns:a16="http://schemas.microsoft.com/office/drawing/2014/main" id="{52265116-BF40-4128-B4B3-9752F9094208}"/>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78" name="AutoShape 132" descr="+">
          <a:extLst>
            <a:ext uri="{FF2B5EF4-FFF2-40B4-BE49-F238E27FC236}">
              <a16:creationId xmlns:a16="http://schemas.microsoft.com/office/drawing/2014/main" id="{A6A8A110-FD0C-4EE5-A5DB-95EB3564BCCB}"/>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79" name="AutoShape 133" descr="+">
          <a:extLst>
            <a:ext uri="{FF2B5EF4-FFF2-40B4-BE49-F238E27FC236}">
              <a16:creationId xmlns:a16="http://schemas.microsoft.com/office/drawing/2014/main" id="{8F5A53C1-537B-4535-9E84-FD10F5C544FF}"/>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80" name="AutoShape 134" descr="+">
          <a:extLst>
            <a:ext uri="{FF2B5EF4-FFF2-40B4-BE49-F238E27FC236}">
              <a16:creationId xmlns:a16="http://schemas.microsoft.com/office/drawing/2014/main" id="{21204C68-DB95-496D-879F-4A8AA5D712DA}"/>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81" name="AutoShape 135" descr="+">
          <a:extLst>
            <a:ext uri="{FF2B5EF4-FFF2-40B4-BE49-F238E27FC236}">
              <a16:creationId xmlns:a16="http://schemas.microsoft.com/office/drawing/2014/main" id="{C9D68832-C024-41AD-987A-CAA239EA0F51}"/>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82" name="AutoShape 136" descr="+">
          <a:extLst>
            <a:ext uri="{FF2B5EF4-FFF2-40B4-BE49-F238E27FC236}">
              <a16:creationId xmlns:a16="http://schemas.microsoft.com/office/drawing/2014/main" id="{D5F941DD-FB8E-423E-8630-FB79353F7986}"/>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83" name="AutoShape 137" descr="+">
          <a:extLst>
            <a:ext uri="{FF2B5EF4-FFF2-40B4-BE49-F238E27FC236}">
              <a16:creationId xmlns:a16="http://schemas.microsoft.com/office/drawing/2014/main" id="{A482C36C-55A6-4A16-8BC3-473A091D261D}"/>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84" name="AutoShape 138" descr="+">
          <a:extLst>
            <a:ext uri="{FF2B5EF4-FFF2-40B4-BE49-F238E27FC236}">
              <a16:creationId xmlns:a16="http://schemas.microsoft.com/office/drawing/2014/main" id="{0EF6A414-863A-4FAD-BE52-362A00F10413}"/>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85" name="AutoShape 139" descr="+">
          <a:extLst>
            <a:ext uri="{FF2B5EF4-FFF2-40B4-BE49-F238E27FC236}">
              <a16:creationId xmlns:a16="http://schemas.microsoft.com/office/drawing/2014/main" id="{5A20A855-D8E0-49AD-B53F-F0592D0A934B}"/>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2"/>
    <xdr:sp macro="" textlink="">
      <xdr:nvSpPr>
        <xdr:cNvPr id="986" name="AutoShape 140" descr="+">
          <a:extLst>
            <a:ext uri="{FF2B5EF4-FFF2-40B4-BE49-F238E27FC236}">
              <a16:creationId xmlns:a16="http://schemas.microsoft.com/office/drawing/2014/main" id="{9B89D7B0-32CD-40F2-B6CC-6A7113035B4B}"/>
            </a:ext>
          </a:extLst>
        </xdr:cNvPr>
        <xdr:cNvSpPr>
          <a:spLocks noChangeAspect="1" noChangeArrowheads="1"/>
        </xdr:cNvSpPr>
      </xdr:nvSpPr>
      <xdr:spPr bwMode="auto">
        <a:xfrm>
          <a:off x="2294283" y="4977848"/>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87" name="AutoShape 141" descr="+">
          <a:extLst>
            <a:ext uri="{FF2B5EF4-FFF2-40B4-BE49-F238E27FC236}">
              <a16:creationId xmlns:a16="http://schemas.microsoft.com/office/drawing/2014/main" id="{C5B3F74B-7395-4BEB-A75D-42C9D84BB82E}"/>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88" name="AutoShape 142" descr="+">
          <a:extLst>
            <a:ext uri="{FF2B5EF4-FFF2-40B4-BE49-F238E27FC236}">
              <a16:creationId xmlns:a16="http://schemas.microsoft.com/office/drawing/2014/main" id="{251F7E49-C0CA-4180-BE58-ABE43439A35A}"/>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26915"/>
    <xdr:sp macro="" textlink="">
      <xdr:nvSpPr>
        <xdr:cNvPr id="989" name="AutoShape 143" descr="+">
          <a:extLst>
            <a:ext uri="{FF2B5EF4-FFF2-40B4-BE49-F238E27FC236}">
              <a16:creationId xmlns:a16="http://schemas.microsoft.com/office/drawing/2014/main" id="{79977108-9665-4E0E-A418-635A093C2548}"/>
            </a:ext>
          </a:extLst>
        </xdr:cNvPr>
        <xdr:cNvSpPr>
          <a:spLocks noChangeAspect="1" noChangeArrowheads="1"/>
        </xdr:cNvSpPr>
      </xdr:nvSpPr>
      <xdr:spPr bwMode="auto">
        <a:xfrm>
          <a:off x="2294283" y="4977848"/>
          <a:ext cx="304800" cy="326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90" name="AutoShape 144" descr="+">
          <a:extLst>
            <a:ext uri="{FF2B5EF4-FFF2-40B4-BE49-F238E27FC236}">
              <a16:creationId xmlns:a16="http://schemas.microsoft.com/office/drawing/2014/main" id="{4B6FE6CE-7D8F-4F16-A34C-105CC4686A60}"/>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91" name="AutoShape 145" descr="+">
          <a:extLst>
            <a:ext uri="{FF2B5EF4-FFF2-40B4-BE49-F238E27FC236}">
              <a16:creationId xmlns:a16="http://schemas.microsoft.com/office/drawing/2014/main" id="{7FDEE827-C4B5-4CAC-B7D6-D7A1C92EF616}"/>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92" name="AutoShape 146" descr="+">
          <a:extLst>
            <a:ext uri="{FF2B5EF4-FFF2-40B4-BE49-F238E27FC236}">
              <a16:creationId xmlns:a16="http://schemas.microsoft.com/office/drawing/2014/main" id="{5D9FDA2B-5757-47BA-A00D-F9E3AD89C4E4}"/>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93" name="AutoShape 147" descr="+">
          <a:extLst>
            <a:ext uri="{FF2B5EF4-FFF2-40B4-BE49-F238E27FC236}">
              <a16:creationId xmlns:a16="http://schemas.microsoft.com/office/drawing/2014/main" id="{BB122B23-FCDF-4E8E-99D6-C82986A10A1F}"/>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6"/>
    <xdr:sp macro="" textlink="">
      <xdr:nvSpPr>
        <xdr:cNvPr id="994" name="AutoShape 148" descr="+">
          <a:extLst>
            <a:ext uri="{FF2B5EF4-FFF2-40B4-BE49-F238E27FC236}">
              <a16:creationId xmlns:a16="http://schemas.microsoft.com/office/drawing/2014/main" id="{9CAE0A29-86F1-43FC-B597-493356632706}"/>
            </a:ext>
          </a:extLst>
        </xdr:cNvPr>
        <xdr:cNvSpPr>
          <a:spLocks noChangeAspect="1" noChangeArrowheads="1"/>
        </xdr:cNvSpPr>
      </xdr:nvSpPr>
      <xdr:spPr bwMode="auto">
        <a:xfrm>
          <a:off x="2294283" y="4977848"/>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0"/>
    <xdr:sp macro="" textlink="">
      <xdr:nvSpPr>
        <xdr:cNvPr id="995" name="AutoShape 149" descr="+">
          <a:extLst>
            <a:ext uri="{FF2B5EF4-FFF2-40B4-BE49-F238E27FC236}">
              <a16:creationId xmlns:a16="http://schemas.microsoft.com/office/drawing/2014/main" id="{F3386796-D78A-43F9-B8F7-DB86D1407620}"/>
            </a:ext>
          </a:extLst>
        </xdr:cNvPr>
        <xdr:cNvSpPr>
          <a:spLocks noChangeAspect="1" noChangeArrowheads="1"/>
        </xdr:cNvSpPr>
      </xdr:nvSpPr>
      <xdr:spPr bwMode="auto">
        <a:xfrm>
          <a:off x="2294283" y="4977848"/>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96" name="AutoShape 150" descr="+">
          <a:extLst>
            <a:ext uri="{FF2B5EF4-FFF2-40B4-BE49-F238E27FC236}">
              <a16:creationId xmlns:a16="http://schemas.microsoft.com/office/drawing/2014/main" id="{08E786E0-CCBB-45C5-A3D6-9B8C9F269A67}"/>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97" name="AutoShape 151" descr="+">
          <a:extLst>
            <a:ext uri="{FF2B5EF4-FFF2-40B4-BE49-F238E27FC236}">
              <a16:creationId xmlns:a16="http://schemas.microsoft.com/office/drawing/2014/main" id="{4BC3CB6E-729F-47BC-A9ED-9C0D184C3FD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98" name="AutoShape 152" descr="+">
          <a:extLst>
            <a:ext uri="{FF2B5EF4-FFF2-40B4-BE49-F238E27FC236}">
              <a16:creationId xmlns:a16="http://schemas.microsoft.com/office/drawing/2014/main" id="{9B6432F4-F254-42FF-A936-50F12CC74B56}"/>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1"/>
    <xdr:sp macro="" textlink="">
      <xdr:nvSpPr>
        <xdr:cNvPr id="999" name="AutoShape 153" descr="+">
          <a:extLst>
            <a:ext uri="{FF2B5EF4-FFF2-40B4-BE49-F238E27FC236}">
              <a16:creationId xmlns:a16="http://schemas.microsoft.com/office/drawing/2014/main" id="{0EB51911-F67F-4542-A1E0-FBC21A15A232}"/>
            </a:ext>
          </a:extLst>
        </xdr:cNvPr>
        <xdr:cNvSpPr>
          <a:spLocks noChangeAspect="1" noChangeArrowheads="1"/>
        </xdr:cNvSpPr>
      </xdr:nvSpPr>
      <xdr:spPr bwMode="auto">
        <a:xfrm>
          <a:off x="2294283" y="4977848"/>
          <a:ext cx="304800" cy="304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2410"/>
    <xdr:sp macro="" textlink="">
      <xdr:nvSpPr>
        <xdr:cNvPr id="1000" name="AutoShape 154" descr="+">
          <a:extLst>
            <a:ext uri="{FF2B5EF4-FFF2-40B4-BE49-F238E27FC236}">
              <a16:creationId xmlns:a16="http://schemas.microsoft.com/office/drawing/2014/main" id="{701F3714-1F63-4CDB-82A5-601949CD4F8E}"/>
            </a:ext>
          </a:extLst>
        </xdr:cNvPr>
        <xdr:cNvSpPr>
          <a:spLocks noChangeAspect="1" noChangeArrowheads="1"/>
        </xdr:cNvSpPr>
      </xdr:nvSpPr>
      <xdr:spPr bwMode="auto">
        <a:xfrm>
          <a:off x="2294283" y="4977848"/>
          <a:ext cx="304800" cy="1724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01" name="AutoShape 155" descr="+">
          <a:extLst>
            <a:ext uri="{FF2B5EF4-FFF2-40B4-BE49-F238E27FC236}">
              <a16:creationId xmlns:a16="http://schemas.microsoft.com/office/drawing/2014/main" id="{CD199F15-50B7-4101-84CB-AA4AE443C153}"/>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0"/>
    <xdr:sp macro="" textlink="">
      <xdr:nvSpPr>
        <xdr:cNvPr id="1002" name="AutoShape 156" descr="+">
          <a:extLst>
            <a:ext uri="{FF2B5EF4-FFF2-40B4-BE49-F238E27FC236}">
              <a16:creationId xmlns:a16="http://schemas.microsoft.com/office/drawing/2014/main" id="{11D8A473-208B-4FBC-A922-263DC553646D}"/>
            </a:ext>
          </a:extLst>
        </xdr:cNvPr>
        <xdr:cNvSpPr>
          <a:spLocks noChangeAspect="1" noChangeArrowheads="1"/>
        </xdr:cNvSpPr>
      </xdr:nvSpPr>
      <xdr:spPr bwMode="auto">
        <a:xfrm>
          <a:off x="2294283" y="4977848"/>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2"/>
    <xdr:sp macro="" textlink="">
      <xdr:nvSpPr>
        <xdr:cNvPr id="1003" name="AutoShape 157" descr="+">
          <a:extLst>
            <a:ext uri="{FF2B5EF4-FFF2-40B4-BE49-F238E27FC236}">
              <a16:creationId xmlns:a16="http://schemas.microsoft.com/office/drawing/2014/main" id="{8E53C84C-2727-44D4-9245-5BEA3675E599}"/>
            </a:ext>
          </a:extLst>
        </xdr:cNvPr>
        <xdr:cNvSpPr>
          <a:spLocks noChangeAspect="1" noChangeArrowheads="1"/>
        </xdr:cNvSpPr>
      </xdr:nvSpPr>
      <xdr:spPr bwMode="auto">
        <a:xfrm>
          <a:off x="2294283" y="4977848"/>
          <a:ext cx="304800" cy="204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04" name="AutoShape 158" descr="+">
          <a:extLst>
            <a:ext uri="{FF2B5EF4-FFF2-40B4-BE49-F238E27FC236}">
              <a16:creationId xmlns:a16="http://schemas.microsoft.com/office/drawing/2014/main" id="{68C32D8B-969B-4132-BC09-3B4E51A023D8}"/>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05" name="AutoShape 159" descr="+">
          <a:extLst>
            <a:ext uri="{FF2B5EF4-FFF2-40B4-BE49-F238E27FC236}">
              <a16:creationId xmlns:a16="http://schemas.microsoft.com/office/drawing/2014/main" id="{E1AE6A19-C8B2-4022-A4B2-F4794D68C211}"/>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6"/>
    <xdr:sp macro="" textlink="">
      <xdr:nvSpPr>
        <xdr:cNvPr id="1006" name="AutoShape 160" descr="+">
          <a:extLst>
            <a:ext uri="{FF2B5EF4-FFF2-40B4-BE49-F238E27FC236}">
              <a16:creationId xmlns:a16="http://schemas.microsoft.com/office/drawing/2014/main" id="{EC7A7AD2-5805-4BAB-A296-5B3E24D8CD98}"/>
            </a:ext>
          </a:extLst>
        </xdr:cNvPr>
        <xdr:cNvSpPr>
          <a:spLocks noChangeAspect="1" noChangeArrowheads="1"/>
        </xdr:cNvSpPr>
      </xdr:nvSpPr>
      <xdr:spPr bwMode="auto">
        <a:xfrm>
          <a:off x="2294283" y="4977848"/>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2"/>
    <xdr:sp macro="" textlink="">
      <xdr:nvSpPr>
        <xdr:cNvPr id="1007" name="AutoShape 161" descr="+">
          <a:extLst>
            <a:ext uri="{FF2B5EF4-FFF2-40B4-BE49-F238E27FC236}">
              <a16:creationId xmlns:a16="http://schemas.microsoft.com/office/drawing/2014/main" id="{AFFDA764-1133-4411-92B0-C20E272E4C47}"/>
            </a:ext>
          </a:extLst>
        </xdr:cNvPr>
        <xdr:cNvSpPr>
          <a:spLocks noChangeAspect="1" noChangeArrowheads="1"/>
        </xdr:cNvSpPr>
      </xdr:nvSpPr>
      <xdr:spPr bwMode="auto">
        <a:xfrm>
          <a:off x="2294283" y="4977848"/>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08" name="AutoShape 162" descr="+">
          <a:extLst>
            <a:ext uri="{FF2B5EF4-FFF2-40B4-BE49-F238E27FC236}">
              <a16:creationId xmlns:a16="http://schemas.microsoft.com/office/drawing/2014/main" id="{495CD5D2-4BAC-4313-8762-F5B40B4A6360}"/>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09" name="AutoShape 163" descr="+">
          <a:extLst>
            <a:ext uri="{FF2B5EF4-FFF2-40B4-BE49-F238E27FC236}">
              <a16:creationId xmlns:a16="http://schemas.microsoft.com/office/drawing/2014/main" id="{D9CB4FD5-63CB-40B9-92F4-EB3CC6FA837E}"/>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0"/>
    <xdr:sp macro="" textlink="">
      <xdr:nvSpPr>
        <xdr:cNvPr id="1010" name="AutoShape 164" descr="+">
          <a:extLst>
            <a:ext uri="{FF2B5EF4-FFF2-40B4-BE49-F238E27FC236}">
              <a16:creationId xmlns:a16="http://schemas.microsoft.com/office/drawing/2014/main" id="{4D1CBA88-F395-4B78-8D65-02E1624B010C}"/>
            </a:ext>
          </a:extLst>
        </xdr:cNvPr>
        <xdr:cNvSpPr>
          <a:spLocks noChangeAspect="1" noChangeArrowheads="1"/>
        </xdr:cNvSpPr>
      </xdr:nvSpPr>
      <xdr:spPr bwMode="auto">
        <a:xfrm>
          <a:off x="2294283" y="4977848"/>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11" name="AutoShape 165" descr="+">
          <a:extLst>
            <a:ext uri="{FF2B5EF4-FFF2-40B4-BE49-F238E27FC236}">
              <a16:creationId xmlns:a16="http://schemas.microsoft.com/office/drawing/2014/main" id="{7DCCC542-6071-422C-93BE-CEEAB14FE034}"/>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12" name="AutoShape 166" descr="+">
          <a:extLst>
            <a:ext uri="{FF2B5EF4-FFF2-40B4-BE49-F238E27FC236}">
              <a16:creationId xmlns:a16="http://schemas.microsoft.com/office/drawing/2014/main" id="{B06E691D-540C-4119-A8AB-6FE6325223B3}"/>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1013" name="AutoShape 167" descr="+">
          <a:extLst>
            <a:ext uri="{FF2B5EF4-FFF2-40B4-BE49-F238E27FC236}">
              <a16:creationId xmlns:a16="http://schemas.microsoft.com/office/drawing/2014/main" id="{AB2F0FB8-BC04-48AD-8349-FA144B06BFC2}"/>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8470"/>
    <xdr:sp macro="" textlink="">
      <xdr:nvSpPr>
        <xdr:cNvPr id="1014" name="AutoShape 168" descr="+">
          <a:extLst>
            <a:ext uri="{FF2B5EF4-FFF2-40B4-BE49-F238E27FC236}">
              <a16:creationId xmlns:a16="http://schemas.microsoft.com/office/drawing/2014/main" id="{B0757917-EEB0-48C3-89FC-2B8A4C734851}"/>
            </a:ext>
          </a:extLst>
        </xdr:cNvPr>
        <xdr:cNvSpPr>
          <a:spLocks noChangeAspect="1" noChangeArrowheads="1"/>
        </xdr:cNvSpPr>
      </xdr:nvSpPr>
      <xdr:spPr bwMode="auto">
        <a:xfrm>
          <a:off x="2294283" y="4977848"/>
          <a:ext cx="304800" cy="308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5533"/>
    <xdr:sp macro="" textlink="">
      <xdr:nvSpPr>
        <xdr:cNvPr id="1015" name="AutoShape 169" descr="+">
          <a:extLst>
            <a:ext uri="{FF2B5EF4-FFF2-40B4-BE49-F238E27FC236}">
              <a16:creationId xmlns:a16="http://schemas.microsoft.com/office/drawing/2014/main" id="{B4B2B4E6-8479-4FBA-A214-A2D497C432F9}"/>
            </a:ext>
          </a:extLst>
        </xdr:cNvPr>
        <xdr:cNvSpPr>
          <a:spLocks noChangeAspect="1" noChangeArrowheads="1"/>
        </xdr:cNvSpPr>
      </xdr:nvSpPr>
      <xdr:spPr bwMode="auto">
        <a:xfrm>
          <a:off x="2294283" y="4977848"/>
          <a:ext cx="304800" cy="1755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6"/>
    <xdr:sp macro="" textlink="">
      <xdr:nvSpPr>
        <xdr:cNvPr id="1016" name="AutoShape 170" descr="+">
          <a:extLst>
            <a:ext uri="{FF2B5EF4-FFF2-40B4-BE49-F238E27FC236}">
              <a16:creationId xmlns:a16="http://schemas.microsoft.com/office/drawing/2014/main" id="{479CB117-905A-46F8-8807-2FC1BF0808D1}"/>
            </a:ext>
          </a:extLst>
        </xdr:cNvPr>
        <xdr:cNvSpPr>
          <a:spLocks noChangeAspect="1" noChangeArrowheads="1"/>
        </xdr:cNvSpPr>
      </xdr:nvSpPr>
      <xdr:spPr bwMode="auto">
        <a:xfrm>
          <a:off x="2294283" y="4977848"/>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8468"/>
    <xdr:sp macro="" textlink="">
      <xdr:nvSpPr>
        <xdr:cNvPr id="1017" name="AutoShape 171" descr="+">
          <a:extLst>
            <a:ext uri="{FF2B5EF4-FFF2-40B4-BE49-F238E27FC236}">
              <a16:creationId xmlns:a16="http://schemas.microsoft.com/office/drawing/2014/main" id="{8B32F27E-B699-4303-966F-4274BCC6EA37}"/>
            </a:ext>
          </a:extLst>
        </xdr:cNvPr>
        <xdr:cNvSpPr>
          <a:spLocks noChangeAspect="1" noChangeArrowheads="1"/>
        </xdr:cNvSpPr>
      </xdr:nvSpPr>
      <xdr:spPr bwMode="auto">
        <a:xfrm>
          <a:off x="2294283" y="4977848"/>
          <a:ext cx="304800" cy="308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8"/>
    <xdr:sp macro="" textlink="">
      <xdr:nvSpPr>
        <xdr:cNvPr id="1018" name="AutoShape 172" descr="+">
          <a:extLst>
            <a:ext uri="{FF2B5EF4-FFF2-40B4-BE49-F238E27FC236}">
              <a16:creationId xmlns:a16="http://schemas.microsoft.com/office/drawing/2014/main" id="{E258D7F6-448D-4C37-BC52-CA425A9A96AA}"/>
            </a:ext>
          </a:extLst>
        </xdr:cNvPr>
        <xdr:cNvSpPr>
          <a:spLocks noChangeAspect="1" noChangeArrowheads="1"/>
        </xdr:cNvSpPr>
      </xdr:nvSpPr>
      <xdr:spPr bwMode="auto">
        <a:xfrm>
          <a:off x="2294283" y="4977848"/>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19" name="AutoShape 173" descr="+">
          <a:extLst>
            <a:ext uri="{FF2B5EF4-FFF2-40B4-BE49-F238E27FC236}">
              <a16:creationId xmlns:a16="http://schemas.microsoft.com/office/drawing/2014/main" id="{32A034BB-156C-4738-870E-2E1977DC5AB6}"/>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3131"/>
    <xdr:sp macro="" textlink="">
      <xdr:nvSpPr>
        <xdr:cNvPr id="1020" name="AutoShape 174" descr="+">
          <a:extLst>
            <a:ext uri="{FF2B5EF4-FFF2-40B4-BE49-F238E27FC236}">
              <a16:creationId xmlns:a16="http://schemas.microsoft.com/office/drawing/2014/main" id="{17C4AF83-8CFD-46D1-9B9D-5C26426E09BD}"/>
            </a:ext>
          </a:extLst>
        </xdr:cNvPr>
        <xdr:cNvSpPr>
          <a:spLocks noChangeAspect="1" noChangeArrowheads="1"/>
        </xdr:cNvSpPr>
      </xdr:nvSpPr>
      <xdr:spPr bwMode="auto">
        <a:xfrm>
          <a:off x="2294283" y="4977848"/>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21" name="AutoShape 175" descr="+">
          <a:extLst>
            <a:ext uri="{FF2B5EF4-FFF2-40B4-BE49-F238E27FC236}">
              <a16:creationId xmlns:a16="http://schemas.microsoft.com/office/drawing/2014/main" id="{0AD3F06D-FD51-4F49-8D37-E762B68F9337}"/>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22" name="AutoShape 176" descr="+">
          <a:extLst>
            <a:ext uri="{FF2B5EF4-FFF2-40B4-BE49-F238E27FC236}">
              <a16:creationId xmlns:a16="http://schemas.microsoft.com/office/drawing/2014/main" id="{B6C48A67-DBC1-4AAB-804F-F62C8D415696}"/>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23" name="AutoShape 177" descr="+">
          <a:extLst>
            <a:ext uri="{FF2B5EF4-FFF2-40B4-BE49-F238E27FC236}">
              <a16:creationId xmlns:a16="http://schemas.microsoft.com/office/drawing/2014/main" id="{A7693366-4525-4DCA-A90B-8ECF93E3ACB9}"/>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24" name="AutoShape 178" descr="+">
          <a:extLst>
            <a:ext uri="{FF2B5EF4-FFF2-40B4-BE49-F238E27FC236}">
              <a16:creationId xmlns:a16="http://schemas.microsoft.com/office/drawing/2014/main" id="{158F773B-25DA-435C-9EB1-5205DF1DE754}"/>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25" name="AutoShape 179" descr="+">
          <a:extLst>
            <a:ext uri="{FF2B5EF4-FFF2-40B4-BE49-F238E27FC236}">
              <a16:creationId xmlns:a16="http://schemas.microsoft.com/office/drawing/2014/main" id="{C5F90762-280A-4488-BC6D-179BA81D49A0}"/>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2"/>
    <xdr:sp macro="" textlink="">
      <xdr:nvSpPr>
        <xdr:cNvPr id="1026" name="AutoShape 180" descr="+">
          <a:extLst>
            <a:ext uri="{FF2B5EF4-FFF2-40B4-BE49-F238E27FC236}">
              <a16:creationId xmlns:a16="http://schemas.microsoft.com/office/drawing/2014/main" id="{AB7BF6CA-DB0E-4C2F-A31F-4F99E54D75F5}"/>
            </a:ext>
          </a:extLst>
        </xdr:cNvPr>
        <xdr:cNvSpPr>
          <a:spLocks noChangeAspect="1" noChangeArrowheads="1"/>
        </xdr:cNvSpPr>
      </xdr:nvSpPr>
      <xdr:spPr bwMode="auto">
        <a:xfrm>
          <a:off x="2294283" y="4977848"/>
          <a:ext cx="304800" cy="1914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8"/>
    <xdr:sp macro="" textlink="">
      <xdr:nvSpPr>
        <xdr:cNvPr id="1027" name="AutoShape 181" descr="+">
          <a:extLst>
            <a:ext uri="{FF2B5EF4-FFF2-40B4-BE49-F238E27FC236}">
              <a16:creationId xmlns:a16="http://schemas.microsoft.com/office/drawing/2014/main" id="{0FF8160A-96B5-4C7E-8718-92E23DACFA11}"/>
            </a:ext>
          </a:extLst>
        </xdr:cNvPr>
        <xdr:cNvSpPr>
          <a:spLocks noChangeAspect="1" noChangeArrowheads="1"/>
        </xdr:cNvSpPr>
      </xdr:nvSpPr>
      <xdr:spPr bwMode="auto">
        <a:xfrm>
          <a:off x="2294283" y="4977848"/>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9501"/>
    <xdr:sp macro="" textlink="">
      <xdr:nvSpPr>
        <xdr:cNvPr id="1028" name="AutoShape 182" descr="+">
          <a:extLst>
            <a:ext uri="{FF2B5EF4-FFF2-40B4-BE49-F238E27FC236}">
              <a16:creationId xmlns:a16="http://schemas.microsoft.com/office/drawing/2014/main" id="{62518B8C-E558-48B4-9703-D90A6B329A68}"/>
            </a:ext>
          </a:extLst>
        </xdr:cNvPr>
        <xdr:cNvSpPr>
          <a:spLocks noChangeAspect="1" noChangeArrowheads="1"/>
        </xdr:cNvSpPr>
      </xdr:nvSpPr>
      <xdr:spPr bwMode="auto">
        <a:xfrm>
          <a:off x="2294283" y="4977848"/>
          <a:ext cx="304800" cy="309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29" name="AutoShape 183" descr="+">
          <a:extLst>
            <a:ext uri="{FF2B5EF4-FFF2-40B4-BE49-F238E27FC236}">
              <a16:creationId xmlns:a16="http://schemas.microsoft.com/office/drawing/2014/main" id="{6D8297C0-D053-49A3-ACEF-0188E43E3BEE}"/>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30" name="AutoShape 184" descr="+">
          <a:extLst>
            <a:ext uri="{FF2B5EF4-FFF2-40B4-BE49-F238E27FC236}">
              <a16:creationId xmlns:a16="http://schemas.microsoft.com/office/drawing/2014/main" id="{80B3F3AB-2D1F-499F-9916-666C7A98EC80}"/>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9"/>
    <xdr:sp macro="" textlink="">
      <xdr:nvSpPr>
        <xdr:cNvPr id="1031" name="AutoShape 185" descr="+">
          <a:extLst>
            <a:ext uri="{FF2B5EF4-FFF2-40B4-BE49-F238E27FC236}">
              <a16:creationId xmlns:a16="http://schemas.microsoft.com/office/drawing/2014/main" id="{7922FB13-CB5C-4265-80AD-26CF7B99244E}"/>
            </a:ext>
          </a:extLst>
        </xdr:cNvPr>
        <xdr:cNvSpPr>
          <a:spLocks noChangeAspect="1" noChangeArrowheads="1"/>
        </xdr:cNvSpPr>
      </xdr:nvSpPr>
      <xdr:spPr bwMode="auto">
        <a:xfrm>
          <a:off x="2294283" y="4977848"/>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1032" name="AutoShape 186" descr="+">
          <a:extLst>
            <a:ext uri="{FF2B5EF4-FFF2-40B4-BE49-F238E27FC236}">
              <a16:creationId xmlns:a16="http://schemas.microsoft.com/office/drawing/2014/main" id="{0173B09B-4AF6-4FCF-81D4-219C3BE9FE0B}"/>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33" name="AutoShape 187" descr="+">
          <a:extLst>
            <a:ext uri="{FF2B5EF4-FFF2-40B4-BE49-F238E27FC236}">
              <a16:creationId xmlns:a16="http://schemas.microsoft.com/office/drawing/2014/main" id="{9D64CA7B-8B31-4DE1-870A-A7604CFC88DF}"/>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1034" name="AutoShape 188" descr="+">
          <a:extLst>
            <a:ext uri="{FF2B5EF4-FFF2-40B4-BE49-F238E27FC236}">
              <a16:creationId xmlns:a16="http://schemas.microsoft.com/office/drawing/2014/main" id="{E1C947FB-E3CE-46D5-B388-988302A52D99}"/>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35" name="AutoShape 189" descr="+">
          <a:extLst>
            <a:ext uri="{FF2B5EF4-FFF2-40B4-BE49-F238E27FC236}">
              <a16:creationId xmlns:a16="http://schemas.microsoft.com/office/drawing/2014/main" id="{D00F3E82-F77D-40D6-B174-F32B23BDA9C7}"/>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2409"/>
    <xdr:sp macro="" textlink="">
      <xdr:nvSpPr>
        <xdr:cNvPr id="1036" name="AutoShape 190" descr="+">
          <a:extLst>
            <a:ext uri="{FF2B5EF4-FFF2-40B4-BE49-F238E27FC236}">
              <a16:creationId xmlns:a16="http://schemas.microsoft.com/office/drawing/2014/main" id="{E7E59C2B-12C4-47A3-9199-2B16BA08B24F}"/>
            </a:ext>
          </a:extLst>
        </xdr:cNvPr>
        <xdr:cNvSpPr>
          <a:spLocks noChangeAspect="1" noChangeArrowheads="1"/>
        </xdr:cNvSpPr>
      </xdr:nvSpPr>
      <xdr:spPr bwMode="auto">
        <a:xfrm>
          <a:off x="2294283" y="4977848"/>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37" name="AutoShape 191" descr="+">
          <a:extLst>
            <a:ext uri="{FF2B5EF4-FFF2-40B4-BE49-F238E27FC236}">
              <a16:creationId xmlns:a16="http://schemas.microsoft.com/office/drawing/2014/main" id="{B7B54F70-ECF8-4F9F-A220-4F4706AB82C0}"/>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1038" name="AutoShape 192" descr="+">
          <a:extLst>
            <a:ext uri="{FF2B5EF4-FFF2-40B4-BE49-F238E27FC236}">
              <a16:creationId xmlns:a16="http://schemas.microsoft.com/office/drawing/2014/main" id="{72C4A671-7CC3-48FA-8F15-78D4B2930469}"/>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39" name="AutoShape 193" descr="+">
          <a:extLst>
            <a:ext uri="{FF2B5EF4-FFF2-40B4-BE49-F238E27FC236}">
              <a16:creationId xmlns:a16="http://schemas.microsoft.com/office/drawing/2014/main" id="{A007407D-7BB8-4907-906D-4D43B411D3AC}"/>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40" name="AutoShape 194" descr="+">
          <a:extLst>
            <a:ext uri="{FF2B5EF4-FFF2-40B4-BE49-F238E27FC236}">
              <a16:creationId xmlns:a16="http://schemas.microsoft.com/office/drawing/2014/main" id="{784F1344-02CE-49E4-A8AC-39E4F6F66D5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6"/>
    <xdr:sp macro="" textlink="">
      <xdr:nvSpPr>
        <xdr:cNvPr id="1041" name="AutoShape 195" descr="+">
          <a:extLst>
            <a:ext uri="{FF2B5EF4-FFF2-40B4-BE49-F238E27FC236}">
              <a16:creationId xmlns:a16="http://schemas.microsoft.com/office/drawing/2014/main" id="{559E5F33-049D-459A-B32D-E24285CB7550}"/>
            </a:ext>
          </a:extLst>
        </xdr:cNvPr>
        <xdr:cNvSpPr>
          <a:spLocks noChangeAspect="1" noChangeArrowheads="1"/>
        </xdr:cNvSpPr>
      </xdr:nvSpPr>
      <xdr:spPr bwMode="auto">
        <a:xfrm>
          <a:off x="2294283" y="4977848"/>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4"/>
    <xdr:sp macro="" textlink="">
      <xdr:nvSpPr>
        <xdr:cNvPr id="1042" name="AutoShape 196" descr="+">
          <a:extLst>
            <a:ext uri="{FF2B5EF4-FFF2-40B4-BE49-F238E27FC236}">
              <a16:creationId xmlns:a16="http://schemas.microsoft.com/office/drawing/2014/main" id="{9B103E9F-ADF9-42BC-BB4B-AB60C441C8F5}"/>
            </a:ext>
          </a:extLst>
        </xdr:cNvPr>
        <xdr:cNvSpPr>
          <a:spLocks noChangeAspect="1" noChangeArrowheads="1"/>
        </xdr:cNvSpPr>
      </xdr:nvSpPr>
      <xdr:spPr bwMode="auto">
        <a:xfrm>
          <a:off x="2294283" y="4977848"/>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5"/>
    <xdr:sp macro="" textlink="">
      <xdr:nvSpPr>
        <xdr:cNvPr id="1043" name="AutoShape 197" descr="+">
          <a:extLst>
            <a:ext uri="{FF2B5EF4-FFF2-40B4-BE49-F238E27FC236}">
              <a16:creationId xmlns:a16="http://schemas.microsoft.com/office/drawing/2014/main" id="{8245443E-A497-40AD-9055-6A3D749B421D}"/>
            </a:ext>
          </a:extLst>
        </xdr:cNvPr>
        <xdr:cNvSpPr>
          <a:spLocks noChangeAspect="1" noChangeArrowheads="1"/>
        </xdr:cNvSpPr>
      </xdr:nvSpPr>
      <xdr:spPr bwMode="auto">
        <a:xfrm>
          <a:off x="2294283" y="4977848"/>
          <a:ext cx="304800" cy="304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44" name="AutoShape 198" descr="+">
          <a:extLst>
            <a:ext uri="{FF2B5EF4-FFF2-40B4-BE49-F238E27FC236}">
              <a16:creationId xmlns:a16="http://schemas.microsoft.com/office/drawing/2014/main" id="{C21FF928-7A83-4DE5-A1B1-23BAD7277D38}"/>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2"/>
    <xdr:sp macro="" textlink="">
      <xdr:nvSpPr>
        <xdr:cNvPr id="1045" name="AutoShape 199" descr="+">
          <a:extLst>
            <a:ext uri="{FF2B5EF4-FFF2-40B4-BE49-F238E27FC236}">
              <a16:creationId xmlns:a16="http://schemas.microsoft.com/office/drawing/2014/main" id="{5AB6C2F6-3A8E-408C-A6F2-2B6B163B6396}"/>
            </a:ext>
          </a:extLst>
        </xdr:cNvPr>
        <xdr:cNvSpPr>
          <a:spLocks noChangeAspect="1" noChangeArrowheads="1"/>
        </xdr:cNvSpPr>
      </xdr:nvSpPr>
      <xdr:spPr bwMode="auto">
        <a:xfrm>
          <a:off x="2294283" y="4977848"/>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3470"/>
    <xdr:sp macro="" textlink="">
      <xdr:nvSpPr>
        <xdr:cNvPr id="1046" name="AutoShape 200" descr="+">
          <a:extLst>
            <a:ext uri="{FF2B5EF4-FFF2-40B4-BE49-F238E27FC236}">
              <a16:creationId xmlns:a16="http://schemas.microsoft.com/office/drawing/2014/main" id="{26C5D199-D121-47A1-9756-CE8D8D0291CE}"/>
            </a:ext>
          </a:extLst>
        </xdr:cNvPr>
        <xdr:cNvSpPr>
          <a:spLocks noChangeAspect="1" noChangeArrowheads="1"/>
        </xdr:cNvSpPr>
      </xdr:nvSpPr>
      <xdr:spPr bwMode="auto">
        <a:xfrm>
          <a:off x="2294283" y="4977848"/>
          <a:ext cx="304800" cy="183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47" name="AutoShape 201" descr="+">
          <a:extLst>
            <a:ext uri="{FF2B5EF4-FFF2-40B4-BE49-F238E27FC236}">
              <a16:creationId xmlns:a16="http://schemas.microsoft.com/office/drawing/2014/main" id="{22BDFC26-1E2D-467C-8939-BFF34EA9F124}"/>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48" name="AutoShape 202" descr="+">
          <a:extLst>
            <a:ext uri="{FF2B5EF4-FFF2-40B4-BE49-F238E27FC236}">
              <a16:creationId xmlns:a16="http://schemas.microsoft.com/office/drawing/2014/main" id="{031B27D6-DDE6-45BD-B6B0-82FA4740EC48}"/>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49" name="AutoShape 203" descr="+">
          <a:extLst>
            <a:ext uri="{FF2B5EF4-FFF2-40B4-BE49-F238E27FC236}">
              <a16:creationId xmlns:a16="http://schemas.microsoft.com/office/drawing/2014/main" id="{1DA9B4BD-1B3C-40EF-93BD-FA7677CF55F0}"/>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50" name="AutoShape 204" descr="+">
          <a:extLst>
            <a:ext uri="{FF2B5EF4-FFF2-40B4-BE49-F238E27FC236}">
              <a16:creationId xmlns:a16="http://schemas.microsoft.com/office/drawing/2014/main" id="{F21C5248-8A54-4342-8E4E-E0BCDC107189}"/>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51" name="AutoShape 205" descr="+">
          <a:extLst>
            <a:ext uri="{FF2B5EF4-FFF2-40B4-BE49-F238E27FC236}">
              <a16:creationId xmlns:a16="http://schemas.microsoft.com/office/drawing/2014/main" id="{6A6C9F52-91EF-4370-9A46-7A13801231E8}"/>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52" name="AutoShape 206" descr="+">
          <a:extLst>
            <a:ext uri="{FF2B5EF4-FFF2-40B4-BE49-F238E27FC236}">
              <a16:creationId xmlns:a16="http://schemas.microsoft.com/office/drawing/2014/main" id="{A0CE2028-8E0A-4BEA-A8D5-A3C5B60F365B}"/>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7"/>
    <xdr:sp macro="" textlink="">
      <xdr:nvSpPr>
        <xdr:cNvPr id="1053" name="AutoShape 207" descr="+">
          <a:extLst>
            <a:ext uri="{FF2B5EF4-FFF2-40B4-BE49-F238E27FC236}">
              <a16:creationId xmlns:a16="http://schemas.microsoft.com/office/drawing/2014/main" id="{CFB5326A-F8CC-4F34-BE6A-12CAFBC9D6A5}"/>
            </a:ext>
          </a:extLst>
        </xdr:cNvPr>
        <xdr:cNvSpPr>
          <a:spLocks noChangeAspect="1" noChangeArrowheads="1"/>
        </xdr:cNvSpPr>
      </xdr:nvSpPr>
      <xdr:spPr bwMode="auto">
        <a:xfrm>
          <a:off x="2294283" y="4977848"/>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54" name="AutoShape 208" descr="+">
          <a:extLst>
            <a:ext uri="{FF2B5EF4-FFF2-40B4-BE49-F238E27FC236}">
              <a16:creationId xmlns:a16="http://schemas.microsoft.com/office/drawing/2014/main" id="{9A71786A-C5A1-4B84-B05B-831473D1090C}"/>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55" name="AutoShape 209" descr="+">
          <a:extLst>
            <a:ext uri="{FF2B5EF4-FFF2-40B4-BE49-F238E27FC236}">
              <a16:creationId xmlns:a16="http://schemas.microsoft.com/office/drawing/2014/main" id="{35F56B1A-AC43-4A97-A399-9C484BD9B11B}"/>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1"/>
    <xdr:sp macro="" textlink="">
      <xdr:nvSpPr>
        <xdr:cNvPr id="1056" name="AutoShape 210" descr="+">
          <a:extLst>
            <a:ext uri="{FF2B5EF4-FFF2-40B4-BE49-F238E27FC236}">
              <a16:creationId xmlns:a16="http://schemas.microsoft.com/office/drawing/2014/main" id="{BBB5C5A3-323C-450B-AADF-78240FB05A32}"/>
            </a:ext>
          </a:extLst>
        </xdr:cNvPr>
        <xdr:cNvSpPr>
          <a:spLocks noChangeAspect="1" noChangeArrowheads="1"/>
        </xdr:cNvSpPr>
      </xdr:nvSpPr>
      <xdr:spPr bwMode="auto">
        <a:xfrm>
          <a:off x="2294283" y="4977848"/>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5"/>
    <xdr:sp macro="" textlink="">
      <xdr:nvSpPr>
        <xdr:cNvPr id="1057" name="AutoShape 211" descr="+">
          <a:extLst>
            <a:ext uri="{FF2B5EF4-FFF2-40B4-BE49-F238E27FC236}">
              <a16:creationId xmlns:a16="http://schemas.microsoft.com/office/drawing/2014/main" id="{120540A4-3E34-4803-96AE-9B113C4148CA}"/>
            </a:ext>
          </a:extLst>
        </xdr:cNvPr>
        <xdr:cNvSpPr>
          <a:spLocks noChangeAspect="1" noChangeArrowheads="1"/>
        </xdr:cNvSpPr>
      </xdr:nvSpPr>
      <xdr:spPr bwMode="auto">
        <a:xfrm>
          <a:off x="2294283" y="4977848"/>
          <a:ext cx="304800" cy="304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76415"/>
    <xdr:sp macro="" textlink="">
      <xdr:nvSpPr>
        <xdr:cNvPr id="1058" name="AutoShape 212" descr="+">
          <a:extLst>
            <a:ext uri="{FF2B5EF4-FFF2-40B4-BE49-F238E27FC236}">
              <a16:creationId xmlns:a16="http://schemas.microsoft.com/office/drawing/2014/main" id="{94E1CECE-9F56-48DC-A2DA-4A13348703A6}"/>
            </a:ext>
          </a:extLst>
        </xdr:cNvPr>
        <xdr:cNvSpPr>
          <a:spLocks noChangeAspect="1" noChangeArrowheads="1"/>
        </xdr:cNvSpPr>
      </xdr:nvSpPr>
      <xdr:spPr bwMode="auto">
        <a:xfrm>
          <a:off x="2294283" y="4977848"/>
          <a:ext cx="304800" cy="2764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3131"/>
    <xdr:sp macro="" textlink="">
      <xdr:nvSpPr>
        <xdr:cNvPr id="1059" name="AutoShape 213" descr="+">
          <a:extLst>
            <a:ext uri="{FF2B5EF4-FFF2-40B4-BE49-F238E27FC236}">
              <a16:creationId xmlns:a16="http://schemas.microsoft.com/office/drawing/2014/main" id="{9AB85BDB-72E0-4EB7-A3C3-5A16AE2BD845}"/>
            </a:ext>
          </a:extLst>
        </xdr:cNvPr>
        <xdr:cNvSpPr>
          <a:spLocks noChangeAspect="1" noChangeArrowheads="1"/>
        </xdr:cNvSpPr>
      </xdr:nvSpPr>
      <xdr:spPr bwMode="auto">
        <a:xfrm>
          <a:off x="2294283" y="4977848"/>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60" name="AutoShape 214" descr="+">
          <a:extLst>
            <a:ext uri="{FF2B5EF4-FFF2-40B4-BE49-F238E27FC236}">
              <a16:creationId xmlns:a16="http://schemas.microsoft.com/office/drawing/2014/main" id="{EFDEF273-1EB4-41CA-9B71-0C71A5E80104}"/>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61" name="AutoShape 215" descr="+">
          <a:extLst>
            <a:ext uri="{FF2B5EF4-FFF2-40B4-BE49-F238E27FC236}">
              <a16:creationId xmlns:a16="http://schemas.microsoft.com/office/drawing/2014/main" id="{BAD1CFB5-0A0B-4BD6-A585-7A82FE99953E}"/>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3090"/>
    <xdr:sp macro="" textlink="">
      <xdr:nvSpPr>
        <xdr:cNvPr id="1062" name="AutoShape 216" descr="+">
          <a:extLst>
            <a:ext uri="{FF2B5EF4-FFF2-40B4-BE49-F238E27FC236}">
              <a16:creationId xmlns:a16="http://schemas.microsoft.com/office/drawing/2014/main" id="{27701067-52D0-4C26-8C13-58E806C9DB93}"/>
            </a:ext>
          </a:extLst>
        </xdr:cNvPr>
        <xdr:cNvSpPr>
          <a:spLocks noChangeAspect="1" noChangeArrowheads="1"/>
        </xdr:cNvSpPr>
      </xdr:nvSpPr>
      <xdr:spPr bwMode="auto">
        <a:xfrm>
          <a:off x="2294283" y="4977848"/>
          <a:ext cx="304800" cy="203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63" name="AutoShape 217" descr="+">
          <a:extLst>
            <a:ext uri="{FF2B5EF4-FFF2-40B4-BE49-F238E27FC236}">
              <a16:creationId xmlns:a16="http://schemas.microsoft.com/office/drawing/2014/main" id="{E5027E7A-6852-42C9-9CF5-49EE0CAD9726}"/>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64" name="AutoShape 218" descr="+">
          <a:extLst>
            <a:ext uri="{FF2B5EF4-FFF2-40B4-BE49-F238E27FC236}">
              <a16:creationId xmlns:a16="http://schemas.microsoft.com/office/drawing/2014/main" id="{E258D6B4-B429-4DF0-8E34-31E16D4C5CC4}"/>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7"/>
    <xdr:sp macro="" textlink="">
      <xdr:nvSpPr>
        <xdr:cNvPr id="1065" name="AutoShape 219" descr="+">
          <a:extLst>
            <a:ext uri="{FF2B5EF4-FFF2-40B4-BE49-F238E27FC236}">
              <a16:creationId xmlns:a16="http://schemas.microsoft.com/office/drawing/2014/main" id="{C0F4B225-98A9-4374-989D-5D099E8FE60D}"/>
            </a:ext>
          </a:extLst>
        </xdr:cNvPr>
        <xdr:cNvSpPr>
          <a:spLocks noChangeAspect="1" noChangeArrowheads="1"/>
        </xdr:cNvSpPr>
      </xdr:nvSpPr>
      <xdr:spPr bwMode="auto">
        <a:xfrm>
          <a:off x="2294283" y="4977848"/>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66" name="AutoShape 220" descr="+">
          <a:extLst>
            <a:ext uri="{FF2B5EF4-FFF2-40B4-BE49-F238E27FC236}">
              <a16:creationId xmlns:a16="http://schemas.microsoft.com/office/drawing/2014/main" id="{35418CFB-4489-4E58-8D73-D7F061F177F9}"/>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67" name="AutoShape 221" descr="+">
          <a:extLst>
            <a:ext uri="{FF2B5EF4-FFF2-40B4-BE49-F238E27FC236}">
              <a16:creationId xmlns:a16="http://schemas.microsoft.com/office/drawing/2014/main" id="{EE57ACFF-A1A9-43CB-9B7C-57F16D53EBBC}"/>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68" name="AutoShape 222" descr="+">
          <a:extLst>
            <a:ext uri="{FF2B5EF4-FFF2-40B4-BE49-F238E27FC236}">
              <a16:creationId xmlns:a16="http://schemas.microsoft.com/office/drawing/2014/main" id="{882CAAFF-F203-4C77-A576-C5986E6BBDA5}"/>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69" name="AutoShape 223" descr="+">
          <a:extLst>
            <a:ext uri="{FF2B5EF4-FFF2-40B4-BE49-F238E27FC236}">
              <a16:creationId xmlns:a16="http://schemas.microsoft.com/office/drawing/2014/main" id="{87A8F716-63F0-42D9-A3C3-38238B6D1CC0}"/>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70" name="AutoShape 224" descr="+">
          <a:extLst>
            <a:ext uri="{FF2B5EF4-FFF2-40B4-BE49-F238E27FC236}">
              <a16:creationId xmlns:a16="http://schemas.microsoft.com/office/drawing/2014/main" id="{A11A28E5-059E-4F6A-BD0A-41E111A346F2}"/>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0"/>
    <xdr:sp macro="" textlink="">
      <xdr:nvSpPr>
        <xdr:cNvPr id="1071" name="AutoShape 225" descr="+">
          <a:extLst>
            <a:ext uri="{FF2B5EF4-FFF2-40B4-BE49-F238E27FC236}">
              <a16:creationId xmlns:a16="http://schemas.microsoft.com/office/drawing/2014/main" id="{AFF7502A-2594-4061-9036-2D6A994F5665}"/>
            </a:ext>
          </a:extLst>
        </xdr:cNvPr>
        <xdr:cNvSpPr>
          <a:spLocks noChangeAspect="1" noChangeArrowheads="1"/>
        </xdr:cNvSpPr>
      </xdr:nvSpPr>
      <xdr:spPr bwMode="auto">
        <a:xfrm>
          <a:off x="2294283" y="4977848"/>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7"/>
    <xdr:sp macro="" textlink="">
      <xdr:nvSpPr>
        <xdr:cNvPr id="1072" name="AutoShape 226" descr="+">
          <a:extLst>
            <a:ext uri="{FF2B5EF4-FFF2-40B4-BE49-F238E27FC236}">
              <a16:creationId xmlns:a16="http://schemas.microsoft.com/office/drawing/2014/main" id="{E52A1F76-ECF9-45C6-9CD2-B662E12A23A2}"/>
            </a:ext>
          </a:extLst>
        </xdr:cNvPr>
        <xdr:cNvSpPr>
          <a:spLocks noChangeAspect="1" noChangeArrowheads="1"/>
        </xdr:cNvSpPr>
      </xdr:nvSpPr>
      <xdr:spPr bwMode="auto">
        <a:xfrm>
          <a:off x="2294283" y="4977848"/>
          <a:ext cx="304800" cy="3043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73" name="AutoShape 227" descr="+">
          <a:extLst>
            <a:ext uri="{FF2B5EF4-FFF2-40B4-BE49-F238E27FC236}">
              <a16:creationId xmlns:a16="http://schemas.microsoft.com/office/drawing/2014/main" id="{34D16156-785B-4A17-BC97-57FF6DEB607E}"/>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74" name="AutoShape 228" descr="+">
          <a:extLst>
            <a:ext uri="{FF2B5EF4-FFF2-40B4-BE49-F238E27FC236}">
              <a16:creationId xmlns:a16="http://schemas.microsoft.com/office/drawing/2014/main" id="{C3AEEA12-060B-4633-9BB8-E1EC2B9B6E53}"/>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6064"/>
    <xdr:sp macro="" textlink="">
      <xdr:nvSpPr>
        <xdr:cNvPr id="1075" name="AutoShape 229" descr="+">
          <a:extLst>
            <a:ext uri="{FF2B5EF4-FFF2-40B4-BE49-F238E27FC236}">
              <a16:creationId xmlns:a16="http://schemas.microsoft.com/office/drawing/2014/main" id="{E9B81769-AD39-4CC1-B523-C5C981401B57}"/>
            </a:ext>
          </a:extLst>
        </xdr:cNvPr>
        <xdr:cNvSpPr>
          <a:spLocks noChangeAspect="1" noChangeArrowheads="1"/>
        </xdr:cNvSpPr>
      </xdr:nvSpPr>
      <xdr:spPr bwMode="auto">
        <a:xfrm>
          <a:off x="2294283" y="4977848"/>
          <a:ext cx="304800" cy="30606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6"/>
    <xdr:sp macro="" textlink="">
      <xdr:nvSpPr>
        <xdr:cNvPr id="1076" name="AutoShape 230" descr="+">
          <a:extLst>
            <a:ext uri="{FF2B5EF4-FFF2-40B4-BE49-F238E27FC236}">
              <a16:creationId xmlns:a16="http://schemas.microsoft.com/office/drawing/2014/main" id="{6F816F3B-3DE1-450A-9406-C6B2C4BA6C33}"/>
            </a:ext>
          </a:extLst>
        </xdr:cNvPr>
        <xdr:cNvSpPr>
          <a:spLocks noChangeAspect="1" noChangeArrowheads="1"/>
        </xdr:cNvSpPr>
      </xdr:nvSpPr>
      <xdr:spPr bwMode="auto">
        <a:xfrm>
          <a:off x="2294283" y="4977848"/>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77" name="AutoShape 231" descr="+">
          <a:extLst>
            <a:ext uri="{FF2B5EF4-FFF2-40B4-BE49-F238E27FC236}">
              <a16:creationId xmlns:a16="http://schemas.microsoft.com/office/drawing/2014/main" id="{262C1F24-1D6F-46FE-B963-39B10AF3C938}"/>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1078" name="AutoShape 232" descr="+">
          <a:extLst>
            <a:ext uri="{FF2B5EF4-FFF2-40B4-BE49-F238E27FC236}">
              <a16:creationId xmlns:a16="http://schemas.microsoft.com/office/drawing/2014/main" id="{1E011C05-9BAE-4121-9A3B-A0B45F62A7EA}"/>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79" name="AutoShape 233" descr="+">
          <a:extLst>
            <a:ext uri="{FF2B5EF4-FFF2-40B4-BE49-F238E27FC236}">
              <a16:creationId xmlns:a16="http://schemas.microsoft.com/office/drawing/2014/main" id="{CB45512B-29BB-4375-B66D-E9E65A4EF927}"/>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80" name="AutoShape 234" descr="+">
          <a:extLst>
            <a:ext uri="{FF2B5EF4-FFF2-40B4-BE49-F238E27FC236}">
              <a16:creationId xmlns:a16="http://schemas.microsoft.com/office/drawing/2014/main" id="{92580C68-5025-4E3F-94C8-6A5C0478F66B}"/>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81" name="AutoShape 235" descr="+">
          <a:extLst>
            <a:ext uri="{FF2B5EF4-FFF2-40B4-BE49-F238E27FC236}">
              <a16:creationId xmlns:a16="http://schemas.microsoft.com/office/drawing/2014/main" id="{231F96A6-A35B-46C8-B410-E777C3AD66EB}"/>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82" name="AutoShape 236" descr="+">
          <a:extLst>
            <a:ext uri="{FF2B5EF4-FFF2-40B4-BE49-F238E27FC236}">
              <a16:creationId xmlns:a16="http://schemas.microsoft.com/office/drawing/2014/main" id="{E6EFFA1B-A63D-414C-89F0-BF88FF81FF02}"/>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83" name="AutoShape 237" descr="+">
          <a:extLst>
            <a:ext uri="{FF2B5EF4-FFF2-40B4-BE49-F238E27FC236}">
              <a16:creationId xmlns:a16="http://schemas.microsoft.com/office/drawing/2014/main" id="{73E1EFC9-7CAD-49D0-8902-36E8CAC4E31C}"/>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4"/>
    <xdr:sp macro="" textlink="">
      <xdr:nvSpPr>
        <xdr:cNvPr id="1084" name="AutoShape 238" descr="+">
          <a:extLst>
            <a:ext uri="{FF2B5EF4-FFF2-40B4-BE49-F238E27FC236}">
              <a16:creationId xmlns:a16="http://schemas.microsoft.com/office/drawing/2014/main" id="{8D131ED2-022F-4A53-9A00-992F7D81578A}"/>
            </a:ext>
          </a:extLst>
        </xdr:cNvPr>
        <xdr:cNvSpPr>
          <a:spLocks noChangeAspect="1" noChangeArrowheads="1"/>
        </xdr:cNvSpPr>
      </xdr:nvSpPr>
      <xdr:spPr bwMode="auto">
        <a:xfrm>
          <a:off x="2294283" y="4977848"/>
          <a:ext cx="304800" cy="2105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85" name="AutoShape 239" descr="+">
          <a:extLst>
            <a:ext uri="{FF2B5EF4-FFF2-40B4-BE49-F238E27FC236}">
              <a16:creationId xmlns:a16="http://schemas.microsoft.com/office/drawing/2014/main" id="{C76F1CFE-C526-45C7-8B54-657194531BDD}"/>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86" name="AutoShape 240" descr="+">
          <a:extLst>
            <a:ext uri="{FF2B5EF4-FFF2-40B4-BE49-F238E27FC236}">
              <a16:creationId xmlns:a16="http://schemas.microsoft.com/office/drawing/2014/main" id="{43D91ACD-EF7B-42BB-898A-0CB7324FE6BD}"/>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87" name="AutoShape 241" descr="+">
          <a:extLst>
            <a:ext uri="{FF2B5EF4-FFF2-40B4-BE49-F238E27FC236}">
              <a16:creationId xmlns:a16="http://schemas.microsoft.com/office/drawing/2014/main" id="{5DCA3A60-2B95-415F-AB00-F3890EAC73DB}"/>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8"/>
    <xdr:sp macro="" textlink="">
      <xdr:nvSpPr>
        <xdr:cNvPr id="1088" name="AutoShape 242" descr="+">
          <a:extLst>
            <a:ext uri="{FF2B5EF4-FFF2-40B4-BE49-F238E27FC236}">
              <a16:creationId xmlns:a16="http://schemas.microsoft.com/office/drawing/2014/main" id="{303831A4-54FA-46AF-9159-7122A7732E38}"/>
            </a:ext>
          </a:extLst>
        </xdr:cNvPr>
        <xdr:cNvSpPr>
          <a:spLocks noChangeAspect="1" noChangeArrowheads="1"/>
        </xdr:cNvSpPr>
      </xdr:nvSpPr>
      <xdr:spPr bwMode="auto">
        <a:xfrm>
          <a:off x="2294283" y="4977848"/>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89" name="AutoShape 243" descr="+">
          <a:extLst>
            <a:ext uri="{FF2B5EF4-FFF2-40B4-BE49-F238E27FC236}">
              <a16:creationId xmlns:a16="http://schemas.microsoft.com/office/drawing/2014/main" id="{5E93D01A-A33F-4CC2-81C3-4FFC244BE1AE}"/>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90" name="AutoShape 244" descr="+">
          <a:extLst>
            <a:ext uri="{FF2B5EF4-FFF2-40B4-BE49-F238E27FC236}">
              <a16:creationId xmlns:a16="http://schemas.microsoft.com/office/drawing/2014/main" id="{7ADC0D66-92B5-45F8-8561-8874BA62982A}"/>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91" name="AutoShape 245" descr="+">
          <a:extLst>
            <a:ext uri="{FF2B5EF4-FFF2-40B4-BE49-F238E27FC236}">
              <a16:creationId xmlns:a16="http://schemas.microsoft.com/office/drawing/2014/main" id="{6ADC7BB9-4F15-4C18-B5FE-4DF967ED6B7A}"/>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1092" name="AutoShape 246" descr="+">
          <a:extLst>
            <a:ext uri="{FF2B5EF4-FFF2-40B4-BE49-F238E27FC236}">
              <a16:creationId xmlns:a16="http://schemas.microsoft.com/office/drawing/2014/main" id="{1CD40158-CAF3-494E-AA45-3B2CA884E548}"/>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93" name="AutoShape 247" descr="+">
          <a:extLst>
            <a:ext uri="{FF2B5EF4-FFF2-40B4-BE49-F238E27FC236}">
              <a16:creationId xmlns:a16="http://schemas.microsoft.com/office/drawing/2014/main" id="{0F046709-05BA-4F5D-9428-0AA24F4E3F03}"/>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1094" name="AutoShape 248" descr="+">
          <a:extLst>
            <a:ext uri="{FF2B5EF4-FFF2-40B4-BE49-F238E27FC236}">
              <a16:creationId xmlns:a16="http://schemas.microsoft.com/office/drawing/2014/main" id="{961D8D24-9523-4076-8751-32F3D7B1E330}"/>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95" name="AutoShape 249" descr="+">
          <a:extLst>
            <a:ext uri="{FF2B5EF4-FFF2-40B4-BE49-F238E27FC236}">
              <a16:creationId xmlns:a16="http://schemas.microsoft.com/office/drawing/2014/main" id="{2D0246CF-B1F4-43FC-A5C0-70E44792E80F}"/>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96" name="AutoShape 250" descr="+">
          <a:extLst>
            <a:ext uri="{FF2B5EF4-FFF2-40B4-BE49-F238E27FC236}">
              <a16:creationId xmlns:a16="http://schemas.microsoft.com/office/drawing/2014/main" id="{3A91FD4B-C94F-4E24-8A7A-C548155CECFA}"/>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97" name="AutoShape 251" descr="+">
          <a:extLst>
            <a:ext uri="{FF2B5EF4-FFF2-40B4-BE49-F238E27FC236}">
              <a16:creationId xmlns:a16="http://schemas.microsoft.com/office/drawing/2014/main" id="{2FA45F56-97A9-4FC4-823E-D15273F10605}"/>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98" name="AutoShape 252" descr="+">
          <a:extLst>
            <a:ext uri="{FF2B5EF4-FFF2-40B4-BE49-F238E27FC236}">
              <a16:creationId xmlns:a16="http://schemas.microsoft.com/office/drawing/2014/main" id="{9DF77D51-D196-4124-951E-6FA3A5BF0071}"/>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7"/>
    <xdr:sp macro="" textlink="">
      <xdr:nvSpPr>
        <xdr:cNvPr id="1099" name="AutoShape 253" descr="+">
          <a:extLst>
            <a:ext uri="{FF2B5EF4-FFF2-40B4-BE49-F238E27FC236}">
              <a16:creationId xmlns:a16="http://schemas.microsoft.com/office/drawing/2014/main" id="{977E9E4E-F410-4FF6-82B3-9A6F7A8B0396}"/>
            </a:ext>
          </a:extLst>
        </xdr:cNvPr>
        <xdr:cNvSpPr>
          <a:spLocks noChangeAspect="1" noChangeArrowheads="1"/>
        </xdr:cNvSpPr>
      </xdr:nvSpPr>
      <xdr:spPr bwMode="auto">
        <a:xfrm>
          <a:off x="2294283" y="4977848"/>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100" name="AutoShape 254" descr="+">
          <a:extLst>
            <a:ext uri="{FF2B5EF4-FFF2-40B4-BE49-F238E27FC236}">
              <a16:creationId xmlns:a16="http://schemas.microsoft.com/office/drawing/2014/main" id="{7C2BF188-FE70-42FE-AC63-AF87B524745B}"/>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101" name="AutoShape 255" descr="+">
          <a:extLst>
            <a:ext uri="{FF2B5EF4-FFF2-40B4-BE49-F238E27FC236}">
              <a16:creationId xmlns:a16="http://schemas.microsoft.com/office/drawing/2014/main" id="{96CC531E-68FC-4735-96FA-A3733B8585D9}"/>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102" name="AutoShape 256" descr="+">
          <a:extLst>
            <a:ext uri="{FF2B5EF4-FFF2-40B4-BE49-F238E27FC236}">
              <a16:creationId xmlns:a16="http://schemas.microsoft.com/office/drawing/2014/main" id="{526540F6-E4A3-4FE9-B490-AC74007B8F06}"/>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03" name="AutoShape 257" descr="+">
          <a:extLst>
            <a:ext uri="{FF2B5EF4-FFF2-40B4-BE49-F238E27FC236}">
              <a16:creationId xmlns:a16="http://schemas.microsoft.com/office/drawing/2014/main" id="{4314537C-BA6D-4A90-B93C-3A31AB0F101A}"/>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71328"/>
    <xdr:sp macro="" textlink="">
      <xdr:nvSpPr>
        <xdr:cNvPr id="1104" name="AutoShape 258" descr="+">
          <a:extLst>
            <a:ext uri="{FF2B5EF4-FFF2-40B4-BE49-F238E27FC236}">
              <a16:creationId xmlns:a16="http://schemas.microsoft.com/office/drawing/2014/main" id="{330BF3D6-8B41-4F82-8543-F6E4A299D577}"/>
            </a:ext>
          </a:extLst>
        </xdr:cNvPr>
        <xdr:cNvSpPr>
          <a:spLocks noChangeAspect="1" noChangeArrowheads="1"/>
        </xdr:cNvSpPr>
      </xdr:nvSpPr>
      <xdr:spPr bwMode="auto">
        <a:xfrm>
          <a:off x="2294283" y="4977848"/>
          <a:ext cx="304800" cy="271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7"/>
    <xdr:sp macro="" textlink="">
      <xdr:nvSpPr>
        <xdr:cNvPr id="1105" name="AutoShape 259" descr="+">
          <a:extLst>
            <a:ext uri="{FF2B5EF4-FFF2-40B4-BE49-F238E27FC236}">
              <a16:creationId xmlns:a16="http://schemas.microsoft.com/office/drawing/2014/main" id="{15A3A428-43F0-4835-8432-FEDC6EB49640}"/>
            </a:ext>
          </a:extLst>
        </xdr:cNvPr>
        <xdr:cNvSpPr>
          <a:spLocks noChangeAspect="1" noChangeArrowheads="1"/>
        </xdr:cNvSpPr>
      </xdr:nvSpPr>
      <xdr:spPr bwMode="auto">
        <a:xfrm>
          <a:off x="2294283" y="4977848"/>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6"/>
    <xdr:sp macro="" textlink="">
      <xdr:nvSpPr>
        <xdr:cNvPr id="1106" name="AutoShape 260" descr="+">
          <a:extLst>
            <a:ext uri="{FF2B5EF4-FFF2-40B4-BE49-F238E27FC236}">
              <a16:creationId xmlns:a16="http://schemas.microsoft.com/office/drawing/2014/main" id="{D85F758F-5ADD-40CF-96F5-21D27DFFD762}"/>
            </a:ext>
          </a:extLst>
        </xdr:cNvPr>
        <xdr:cNvSpPr>
          <a:spLocks noChangeAspect="1" noChangeArrowheads="1"/>
        </xdr:cNvSpPr>
      </xdr:nvSpPr>
      <xdr:spPr bwMode="auto">
        <a:xfrm>
          <a:off x="2294283" y="4977848"/>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107" name="AutoShape 261" descr="+">
          <a:extLst>
            <a:ext uri="{FF2B5EF4-FFF2-40B4-BE49-F238E27FC236}">
              <a16:creationId xmlns:a16="http://schemas.microsoft.com/office/drawing/2014/main" id="{E08EAC1B-8768-4AF1-AEA1-5DF9EB4FE8EF}"/>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08" name="AutoShape 262" descr="+">
          <a:extLst>
            <a:ext uri="{FF2B5EF4-FFF2-40B4-BE49-F238E27FC236}">
              <a16:creationId xmlns:a16="http://schemas.microsoft.com/office/drawing/2014/main" id="{EB14728E-9B86-492B-AB10-0F74E5022CD4}"/>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5329"/>
    <xdr:sp macro="" textlink="">
      <xdr:nvSpPr>
        <xdr:cNvPr id="1109" name="AutoShape 263" descr="+">
          <a:extLst>
            <a:ext uri="{FF2B5EF4-FFF2-40B4-BE49-F238E27FC236}">
              <a16:creationId xmlns:a16="http://schemas.microsoft.com/office/drawing/2014/main" id="{4F57AA5B-08BC-4440-B504-D3AF326CC5AA}"/>
            </a:ext>
          </a:extLst>
        </xdr:cNvPr>
        <xdr:cNvSpPr>
          <a:spLocks noChangeAspect="1" noChangeArrowheads="1"/>
        </xdr:cNvSpPr>
      </xdr:nvSpPr>
      <xdr:spPr bwMode="auto">
        <a:xfrm>
          <a:off x="2294283" y="4977848"/>
          <a:ext cx="304800" cy="1653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5328"/>
    <xdr:sp macro="" textlink="">
      <xdr:nvSpPr>
        <xdr:cNvPr id="1110" name="AutoShape 264" descr="+">
          <a:extLst>
            <a:ext uri="{FF2B5EF4-FFF2-40B4-BE49-F238E27FC236}">
              <a16:creationId xmlns:a16="http://schemas.microsoft.com/office/drawing/2014/main" id="{0E3B5362-D2AF-43FA-9684-2B2992DA45F6}"/>
            </a:ext>
          </a:extLst>
        </xdr:cNvPr>
        <xdr:cNvSpPr>
          <a:spLocks noChangeAspect="1" noChangeArrowheads="1"/>
        </xdr:cNvSpPr>
      </xdr:nvSpPr>
      <xdr:spPr bwMode="auto">
        <a:xfrm>
          <a:off x="2294283" y="4977848"/>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1"/>
    <xdr:sp macro="" textlink="">
      <xdr:nvSpPr>
        <xdr:cNvPr id="1111" name="AutoShape 265" descr="+">
          <a:extLst>
            <a:ext uri="{FF2B5EF4-FFF2-40B4-BE49-F238E27FC236}">
              <a16:creationId xmlns:a16="http://schemas.microsoft.com/office/drawing/2014/main" id="{69EFCD9C-D872-4135-B71F-DF917CE9CF9D}"/>
            </a:ext>
          </a:extLst>
        </xdr:cNvPr>
        <xdr:cNvSpPr>
          <a:spLocks noChangeAspect="1" noChangeArrowheads="1"/>
        </xdr:cNvSpPr>
      </xdr:nvSpPr>
      <xdr:spPr bwMode="auto">
        <a:xfrm>
          <a:off x="2294283" y="4977848"/>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6"/>
    <xdr:sp macro="" textlink="">
      <xdr:nvSpPr>
        <xdr:cNvPr id="1112" name="AutoShape 266" descr="+">
          <a:extLst>
            <a:ext uri="{FF2B5EF4-FFF2-40B4-BE49-F238E27FC236}">
              <a16:creationId xmlns:a16="http://schemas.microsoft.com/office/drawing/2014/main" id="{DAB5D02C-61C8-49C4-8970-1544AE09D269}"/>
            </a:ext>
          </a:extLst>
        </xdr:cNvPr>
        <xdr:cNvSpPr>
          <a:spLocks noChangeAspect="1" noChangeArrowheads="1"/>
        </xdr:cNvSpPr>
      </xdr:nvSpPr>
      <xdr:spPr bwMode="auto">
        <a:xfrm>
          <a:off x="2294283" y="4977848"/>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8"/>
    <xdr:sp macro="" textlink="">
      <xdr:nvSpPr>
        <xdr:cNvPr id="1113" name="AutoShape 267" descr="+">
          <a:extLst>
            <a:ext uri="{FF2B5EF4-FFF2-40B4-BE49-F238E27FC236}">
              <a16:creationId xmlns:a16="http://schemas.microsoft.com/office/drawing/2014/main" id="{FD77BBC1-EF4E-4977-B768-B3A4810770CE}"/>
            </a:ext>
          </a:extLst>
        </xdr:cNvPr>
        <xdr:cNvSpPr>
          <a:spLocks noChangeAspect="1" noChangeArrowheads="1"/>
        </xdr:cNvSpPr>
      </xdr:nvSpPr>
      <xdr:spPr bwMode="auto">
        <a:xfrm>
          <a:off x="2294283" y="4977848"/>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1"/>
    <xdr:sp macro="" textlink="">
      <xdr:nvSpPr>
        <xdr:cNvPr id="1114" name="AutoShape 268" descr="+">
          <a:extLst>
            <a:ext uri="{FF2B5EF4-FFF2-40B4-BE49-F238E27FC236}">
              <a16:creationId xmlns:a16="http://schemas.microsoft.com/office/drawing/2014/main" id="{43362773-0D66-45C5-BA55-0A1B3104FE8D}"/>
            </a:ext>
          </a:extLst>
        </xdr:cNvPr>
        <xdr:cNvSpPr>
          <a:spLocks noChangeAspect="1" noChangeArrowheads="1"/>
        </xdr:cNvSpPr>
      </xdr:nvSpPr>
      <xdr:spPr bwMode="auto">
        <a:xfrm>
          <a:off x="2294283" y="4977848"/>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9"/>
    <xdr:sp macro="" textlink="">
      <xdr:nvSpPr>
        <xdr:cNvPr id="1115" name="AutoShape 269" descr="+">
          <a:extLst>
            <a:ext uri="{FF2B5EF4-FFF2-40B4-BE49-F238E27FC236}">
              <a16:creationId xmlns:a16="http://schemas.microsoft.com/office/drawing/2014/main" id="{015EDF76-2C39-4B5C-977F-830DC75C9297}"/>
            </a:ext>
          </a:extLst>
        </xdr:cNvPr>
        <xdr:cNvSpPr>
          <a:spLocks noChangeAspect="1" noChangeArrowheads="1"/>
        </xdr:cNvSpPr>
      </xdr:nvSpPr>
      <xdr:spPr bwMode="auto">
        <a:xfrm>
          <a:off x="2294283" y="4977848"/>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9"/>
    <xdr:sp macro="" textlink="">
      <xdr:nvSpPr>
        <xdr:cNvPr id="1116" name="AutoShape 270" descr="+">
          <a:extLst>
            <a:ext uri="{FF2B5EF4-FFF2-40B4-BE49-F238E27FC236}">
              <a16:creationId xmlns:a16="http://schemas.microsoft.com/office/drawing/2014/main" id="{CB4D5CC5-75B6-4160-AB64-B76921538AF7}"/>
            </a:ext>
          </a:extLst>
        </xdr:cNvPr>
        <xdr:cNvSpPr>
          <a:spLocks noChangeAspect="1" noChangeArrowheads="1"/>
        </xdr:cNvSpPr>
      </xdr:nvSpPr>
      <xdr:spPr bwMode="auto">
        <a:xfrm>
          <a:off x="2294283" y="4977848"/>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8468"/>
    <xdr:sp macro="" textlink="">
      <xdr:nvSpPr>
        <xdr:cNvPr id="1117" name="AutoShape 271" descr="+">
          <a:extLst>
            <a:ext uri="{FF2B5EF4-FFF2-40B4-BE49-F238E27FC236}">
              <a16:creationId xmlns:a16="http://schemas.microsoft.com/office/drawing/2014/main" id="{E82A5522-F1F4-46FD-951A-962B4D58DE76}"/>
            </a:ext>
          </a:extLst>
        </xdr:cNvPr>
        <xdr:cNvSpPr>
          <a:spLocks noChangeAspect="1" noChangeArrowheads="1"/>
        </xdr:cNvSpPr>
      </xdr:nvSpPr>
      <xdr:spPr bwMode="auto">
        <a:xfrm>
          <a:off x="2294283" y="4977848"/>
          <a:ext cx="304800" cy="308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9"/>
    <xdr:sp macro="" textlink="">
      <xdr:nvSpPr>
        <xdr:cNvPr id="1118" name="AutoShape 272" descr="+">
          <a:extLst>
            <a:ext uri="{FF2B5EF4-FFF2-40B4-BE49-F238E27FC236}">
              <a16:creationId xmlns:a16="http://schemas.microsoft.com/office/drawing/2014/main" id="{C3193ECE-8D98-43FB-8915-96CDA6B87CA4}"/>
            </a:ext>
          </a:extLst>
        </xdr:cNvPr>
        <xdr:cNvSpPr>
          <a:spLocks noChangeAspect="1" noChangeArrowheads="1"/>
        </xdr:cNvSpPr>
      </xdr:nvSpPr>
      <xdr:spPr bwMode="auto">
        <a:xfrm>
          <a:off x="2294283" y="4977848"/>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119" name="AutoShape 273" descr="+">
          <a:extLst>
            <a:ext uri="{FF2B5EF4-FFF2-40B4-BE49-F238E27FC236}">
              <a16:creationId xmlns:a16="http://schemas.microsoft.com/office/drawing/2014/main" id="{BD745F04-DDD4-4F17-9088-E2B14D048D40}"/>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120" name="AutoShape 274" descr="+">
          <a:extLst>
            <a:ext uri="{FF2B5EF4-FFF2-40B4-BE49-F238E27FC236}">
              <a16:creationId xmlns:a16="http://schemas.microsoft.com/office/drawing/2014/main" id="{3A7CE658-F3BC-401C-B0B2-3D990DE5B3EE}"/>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5297"/>
    <xdr:sp macro="" textlink="">
      <xdr:nvSpPr>
        <xdr:cNvPr id="1121" name="AutoShape 275" descr="+">
          <a:extLst>
            <a:ext uri="{FF2B5EF4-FFF2-40B4-BE49-F238E27FC236}">
              <a16:creationId xmlns:a16="http://schemas.microsoft.com/office/drawing/2014/main" id="{93419132-4C9C-4103-A26F-0FBDFB2F2FEE}"/>
            </a:ext>
          </a:extLst>
        </xdr:cNvPr>
        <xdr:cNvSpPr>
          <a:spLocks noChangeAspect="1" noChangeArrowheads="1"/>
        </xdr:cNvSpPr>
      </xdr:nvSpPr>
      <xdr:spPr bwMode="auto">
        <a:xfrm>
          <a:off x="2294283" y="4977848"/>
          <a:ext cx="304800" cy="1852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122" name="AutoShape 276" descr="+">
          <a:extLst>
            <a:ext uri="{FF2B5EF4-FFF2-40B4-BE49-F238E27FC236}">
              <a16:creationId xmlns:a16="http://schemas.microsoft.com/office/drawing/2014/main" id="{D54EF42A-6967-4761-A3DA-7E69FBDCBD20}"/>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123" name="AutoShape 277" descr="+">
          <a:extLst>
            <a:ext uri="{FF2B5EF4-FFF2-40B4-BE49-F238E27FC236}">
              <a16:creationId xmlns:a16="http://schemas.microsoft.com/office/drawing/2014/main" id="{0B0B486E-BE63-4CAA-B295-223FF4F073B4}"/>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124" name="AutoShape 278" descr="+">
          <a:extLst>
            <a:ext uri="{FF2B5EF4-FFF2-40B4-BE49-F238E27FC236}">
              <a16:creationId xmlns:a16="http://schemas.microsoft.com/office/drawing/2014/main" id="{8A816CC8-C76F-421B-9BC7-556015E957F2}"/>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1"/>
    <xdr:sp macro="" textlink="">
      <xdr:nvSpPr>
        <xdr:cNvPr id="1125" name="AutoShape 279" descr="+">
          <a:extLst>
            <a:ext uri="{FF2B5EF4-FFF2-40B4-BE49-F238E27FC236}">
              <a16:creationId xmlns:a16="http://schemas.microsoft.com/office/drawing/2014/main" id="{656B9DA8-E373-45DE-90C6-FCDCB05E63A2}"/>
            </a:ext>
          </a:extLst>
        </xdr:cNvPr>
        <xdr:cNvSpPr>
          <a:spLocks noChangeAspect="1" noChangeArrowheads="1"/>
        </xdr:cNvSpPr>
      </xdr:nvSpPr>
      <xdr:spPr bwMode="auto">
        <a:xfrm>
          <a:off x="2294283" y="4977848"/>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1126" name="AutoShape 280" descr="+">
          <a:extLst>
            <a:ext uri="{FF2B5EF4-FFF2-40B4-BE49-F238E27FC236}">
              <a16:creationId xmlns:a16="http://schemas.microsoft.com/office/drawing/2014/main" id="{61AF58E2-D9B7-4714-979F-55D1B930C4B6}"/>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127" name="AutoShape 281" descr="+">
          <a:extLst>
            <a:ext uri="{FF2B5EF4-FFF2-40B4-BE49-F238E27FC236}">
              <a16:creationId xmlns:a16="http://schemas.microsoft.com/office/drawing/2014/main" id="{84B5C6B8-67D8-4D49-8C3B-9752946B3A43}"/>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8"/>
    <xdr:sp macro="" textlink="">
      <xdr:nvSpPr>
        <xdr:cNvPr id="1128" name="AutoShape 282" descr="+">
          <a:extLst>
            <a:ext uri="{FF2B5EF4-FFF2-40B4-BE49-F238E27FC236}">
              <a16:creationId xmlns:a16="http://schemas.microsoft.com/office/drawing/2014/main" id="{474DB1CA-8ED1-4A38-AA15-6438F04DA3B3}"/>
            </a:ext>
          </a:extLst>
        </xdr:cNvPr>
        <xdr:cNvSpPr>
          <a:spLocks noChangeAspect="1" noChangeArrowheads="1"/>
        </xdr:cNvSpPr>
      </xdr:nvSpPr>
      <xdr:spPr bwMode="auto">
        <a:xfrm>
          <a:off x="2294283" y="4977848"/>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29" name="AutoShape 283" descr="+">
          <a:extLst>
            <a:ext uri="{FF2B5EF4-FFF2-40B4-BE49-F238E27FC236}">
              <a16:creationId xmlns:a16="http://schemas.microsoft.com/office/drawing/2014/main" id="{831E349B-1302-46AA-B647-06CB0F0B3E6D}"/>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30" name="AutoShape 284" descr="+">
          <a:extLst>
            <a:ext uri="{FF2B5EF4-FFF2-40B4-BE49-F238E27FC236}">
              <a16:creationId xmlns:a16="http://schemas.microsoft.com/office/drawing/2014/main" id="{E60F7715-D046-4F7C-9808-A7691645A97B}"/>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6"/>
    <xdr:sp macro="" textlink="">
      <xdr:nvSpPr>
        <xdr:cNvPr id="1131" name="AutoShape 285" descr="+">
          <a:extLst>
            <a:ext uri="{FF2B5EF4-FFF2-40B4-BE49-F238E27FC236}">
              <a16:creationId xmlns:a16="http://schemas.microsoft.com/office/drawing/2014/main" id="{22F735C9-4F80-4E0F-BC4D-A03646CEF032}"/>
            </a:ext>
          </a:extLst>
        </xdr:cNvPr>
        <xdr:cNvSpPr>
          <a:spLocks noChangeAspect="1" noChangeArrowheads="1"/>
        </xdr:cNvSpPr>
      </xdr:nvSpPr>
      <xdr:spPr bwMode="auto">
        <a:xfrm>
          <a:off x="2294283" y="4977848"/>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4"/>
    <xdr:sp macro="" textlink="">
      <xdr:nvSpPr>
        <xdr:cNvPr id="1132" name="AutoShape 286" descr="+">
          <a:extLst>
            <a:ext uri="{FF2B5EF4-FFF2-40B4-BE49-F238E27FC236}">
              <a16:creationId xmlns:a16="http://schemas.microsoft.com/office/drawing/2014/main" id="{4253B83D-9E0E-474A-947E-520F532BAED2}"/>
            </a:ext>
          </a:extLst>
        </xdr:cNvPr>
        <xdr:cNvSpPr>
          <a:spLocks noChangeAspect="1" noChangeArrowheads="1"/>
        </xdr:cNvSpPr>
      </xdr:nvSpPr>
      <xdr:spPr bwMode="auto">
        <a:xfrm>
          <a:off x="2294283" y="4977848"/>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7"/>
    <xdr:sp macro="" textlink="">
      <xdr:nvSpPr>
        <xdr:cNvPr id="1133" name="AutoShape 287" descr="+">
          <a:extLst>
            <a:ext uri="{FF2B5EF4-FFF2-40B4-BE49-F238E27FC236}">
              <a16:creationId xmlns:a16="http://schemas.microsoft.com/office/drawing/2014/main" id="{1EC81070-2B48-453B-B7F3-2404522B3EC2}"/>
            </a:ext>
          </a:extLst>
        </xdr:cNvPr>
        <xdr:cNvSpPr>
          <a:spLocks noChangeAspect="1" noChangeArrowheads="1"/>
        </xdr:cNvSpPr>
      </xdr:nvSpPr>
      <xdr:spPr bwMode="auto">
        <a:xfrm>
          <a:off x="2294283" y="4977848"/>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7"/>
    <xdr:sp macro="" textlink="">
      <xdr:nvSpPr>
        <xdr:cNvPr id="1134" name="AutoShape 288" descr="+">
          <a:extLst>
            <a:ext uri="{FF2B5EF4-FFF2-40B4-BE49-F238E27FC236}">
              <a16:creationId xmlns:a16="http://schemas.microsoft.com/office/drawing/2014/main" id="{91532085-6DA1-4DFB-84D9-52185CC120E1}"/>
            </a:ext>
          </a:extLst>
        </xdr:cNvPr>
        <xdr:cNvSpPr>
          <a:spLocks noChangeAspect="1" noChangeArrowheads="1"/>
        </xdr:cNvSpPr>
      </xdr:nvSpPr>
      <xdr:spPr bwMode="auto">
        <a:xfrm>
          <a:off x="2294283" y="4977848"/>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135" name="AutoShape 289" descr="+">
          <a:extLst>
            <a:ext uri="{FF2B5EF4-FFF2-40B4-BE49-F238E27FC236}">
              <a16:creationId xmlns:a16="http://schemas.microsoft.com/office/drawing/2014/main" id="{540FEB0A-72FB-44FC-927E-5A69A48AD0E2}"/>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36" name="AutoShape 290" descr="+">
          <a:extLst>
            <a:ext uri="{FF2B5EF4-FFF2-40B4-BE49-F238E27FC236}">
              <a16:creationId xmlns:a16="http://schemas.microsoft.com/office/drawing/2014/main" id="{8E3D4F64-B419-4380-8099-7FBE72803D43}"/>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137" name="AutoShape 291" descr="+">
          <a:extLst>
            <a:ext uri="{FF2B5EF4-FFF2-40B4-BE49-F238E27FC236}">
              <a16:creationId xmlns:a16="http://schemas.microsoft.com/office/drawing/2014/main" id="{25382A9C-F554-469F-9E90-13A0AB2CC4A8}"/>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38" name="AutoShape 292" descr="+">
          <a:extLst>
            <a:ext uri="{FF2B5EF4-FFF2-40B4-BE49-F238E27FC236}">
              <a16:creationId xmlns:a16="http://schemas.microsoft.com/office/drawing/2014/main" id="{764B5A05-97C0-4C52-BFE8-881763BE5A30}"/>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139" name="AutoShape 293" descr="+">
          <a:extLst>
            <a:ext uri="{FF2B5EF4-FFF2-40B4-BE49-F238E27FC236}">
              <a16:creationId xmlns:a16="http://schemas.microsoft.com/office/drawing/2014/main" id="{C8A77D0E-7342-4D5B-8F74-60F302335A63}"/>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40" name="AutoShape 294" descr="+">
          <a:extLst>
            <a:ext uri="{FF2B5EF4-FFF2-40B4-BE49-F238E27FC236}">
              <a16:creationId xmlns:a16="http://schemas.microsoft.com/office/drawing/2014/main" id="{0B65240A-8BF9-40A3-8AE7-215606EDB88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664"/>
    <xdr:sp macro="" textlink="">
      <xdr:nvSpPr>
        <xdr:cNvPr id="1141" name="AutoShape 295" descr="+">
          <a:extLst>
            <a:ext uri="{FF2B5EF4-FFF2-40B4-BE49-F238E27FC236}">
              <a16:creationId xmlns:a16="http://schemas.microsoft.com/office/drawing/2014/main" id="{2A77D7BC-34C3-462B-A4FD-06EE4AB84D45}"/>
            </a:ext>
          </a:extLst>
        </xdr:cNvPr>
        <xdr:cNvSpPr>
          <a:spLocks noChangeAspect="1" noChangeArrowheads="1"/>
        </xdr:cNvSpPr>
      </xdr:nvSpPr>
      <xdr:spPr bwMode="auto">
        <a:xfrm>
          <a:off x="2294283" y="4977848"/>
          <a:ext cx="304800" cy="30466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1142" name="AutoShape 296" descr="+">
          <a:extLst>
            <a:ext uri="{FF2B5EF4-FFF2-40B4-BE49-F238E27FC236}">
              <a16:creationId xmlns:a16="http://schemas.microsoft.com/office/drawing/2014/main" id="{E6294C67-3054-4C80-8CCA-86BDAC382092}"/>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6063"/>
    <xdr:sp macro="" textlink="">
      <xdr:nvSpPr>
        <xdr:cNvPr id="1143" name="AutoShape 297" descr="+">
          <a:extLst>
            <a:ext uri="{FF2B5EF4-FFF2-40B4-BE49-F238E27FC236}">
              <a16:creationId xmlns:a16="http://schemas.microsoft.com/office/drawing/2014/main" id="{8B9A8FC5-127B-471B-A38E-69099C7A5BFA}"/>
            </a:ext>
          </a:extLst>
        </xdr:cNvPr>
        <xdr:cNvSpPr>
          <a:spLocks noChangeAspect="1" noChangeArrowheads="1"/>
        </xdr:cNvSpPr>
      </xdr:nvSpPr>
      <xdr:spPr bwMode="auto">
        <a:xfrm>
          <a:off x="2294283" y="4977848"/>
          <a:ext cx="304800" cy="3060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44" name="AutoShape 298" descr="+">
          <a:extLst>
            <a:ext uri="{FF2B5EF4-FFF2-40B4-BE49-F238E27FC236}">
              <a16:creationId xmlns:a16="http://schemas.microsoft.com/office/drawing/2014/main" id="{DAFF93B6-BD93-4B57-9677-839D6AF6D09C}"/>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7"/>
    <xdr:sp macro="" textlink="">
      <xdr:nvSpPr>
        <xdr:cNvPr id="1145" name="AutoShape 80" descr="+">
          <a:extLst>
            <a:ext uri="{FF2B5EF4-FFF2-40B4-BE49-F238E27FC236}">
              <a16:creationId xmlns:a16="http://schemas.microsoft.com/office/drawing/2014/main" id="{99281F82-89CD-498B-A222-D25A9ABA7820}"/>
            </a:ext>
          </a:extLst>
        </xdr:cNvPr>
        <xdr:cNvSpPr>
          <a:spLocks noChangeAspect="1" noChangeArrowheads="1"/>
        </xdr:cNvSpPr>
      </xdr:nvSpPr>
      <xdr:spPr bwMode="auto">
        <a:xfrm>
          <a:off x="2294283" y="4977848"/>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1496786</xdr:colOff>
      <xdr:row>13</xdr:row>
      <xdr:rowOff>0</xdr:rowOff>
    </xdr:from>
    <xdr:ext cx="304800" cy="166687"/>
    <xdr:sp macro="" textlink="">
      <xdr:nvSpPr>
        <xdr:cNvPr id="1146" name="AutoShape 80" descr="+">
          <a:extLst>
            <a:ext uri="{FF2B5EF4-FFF2-40B4-BE49-F238E27FC236}">
              <a16:creationId xmlns:a16="http://schemas.microsoft.com/office/drawing/2014/main" id="{142B5A20-431B-4F8A-8823-6EE658BEAF47}"/>
            </a:ext>
          </a:extLst>
        </xdr:cNvPr>
        <xdr:cNvSpPr>
          <a:spLocks noChangeAspect="1" noChangeArrowheads="1"/>
        </xdr:cNvSpPr>
      </xdr:nvSpPr>
      <xdr:spPr bwMode="auto">
        <a:xfrm>
          <a:off x="3791069" y="4977848"/>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9525</xdr:colOff>
      <xdr:row>20</xdr:row>
      <xdr:rowOff>4308614</xdr:rowOff>
    </xdr:from>
    <xdr:to>
      <xdr:col>3</xdr:col>
      <xdr:colOff>1843780</xdr:colOff>
      <xdr:row>34</xdr:row>
      <xdr:rowOff>57151</xdr:rowOff>
    </xdr:to>
    <xdr:pic>
      <xdr:nvPicPr>
        <xdr:cNvPr id="282" name="Picture 281">
          <a:extLst>
            <a:ext uri="{FF2B5EF4-FFF2-40B4-BE49-F238E27FC236}">
              <a16:creationId xmlns:a16="http://schemas.microsoft.com/office/drawing/2014/main" id="{AD9163EF-3342-4297-A77C-1395530872B8}"/>
            </a:ext>
          </a:extLst>
        </xdr:cNvPr>
        <xdr:cNvPicPr>
          <a:picLocks noChangeAspect="1"/>
        </xdr:cNvPicPr>
      </xdr:nvPicPr>
      <xdr:blipFill>
        <a:blip xmlns:r="http://schemas.openxmlformats.org/officeDocument/2006/relationships" r:embed="rId3"/>
        <a:stretch>
          <a:fillRect/>
        </a:stretch>
      </xdr:blipFill>
      <xdr:spPr>
        <a:xfrm>
          <a:off x="9525" y="10233164"/>
          <a:ext cx="6072880" cy="2387462"/>
        </a:xfrm>
        <a:prstGeom prst="rect">
          <a:avLst/>
        </a:prstGeom>
        <a:ln>
          <a:solidFill>
            <a:schemeClr val="tx1"/>
          </a:solidFill>
        </a:ln>
      </xdr:spPr>
    </xdr:pic>
    <xdr:clientData/>
  </xdr:twoCellAnchor>
  <xdr:twoCellAnchor editAs="oneCell">
    <xdr:from>
      <xdr:col>4</xdr:col>
      <xdr:colOff>219075</xdr:colOff>
      <xdr:row>7</xdr:row>
      <xdr:rowOff>161925</xdr:rowOff>
    </xdr:from>
    <xdr:to>
      <xdr:col>6</xdr:col>
      <xdr:colOff>807427</xdr:colOff>
      <xdr:row>11</xdr:row>
      <xdr:rowOff>207860</xdr:rowOff>
    </xdr:to>
    <xdr:pic>
      <xdr:nvPicPr>
        <xdr:cNvPr id="1147" name="Picture 1146">
          <a:extLst>
            <a:ext uri="{FF2B5EF4-FFF2-40B4-BE49-F238E27FC236}">
              <a16:creationId xmlns:a16="http://schemas.microsoft.com/office/drawing/2014/main" id="{9D94E45C-2E3C-4A84-BF40-003AB8D2883F}"/>
            </a:ext>
          </a:extLst>
        </xdr:cNvPr>
        <xdr:cNvPicPr>
          <a:picLocks noChangeAspect="1"/>
        </xdr:cNvPicPr>
      </xdr:nvPicPr>
      <xdr:blipFill>
        <a:blip xmlns:r="http://schemas.openxmlformats.org/officeDocument/2006/relationships" r:embed="rId4"/>
        <a:stretch>
          <a:fillRect/>
        </a:stretch>
      </xdr:blipFill>
      <xdr:spPr>
        <a:xfrm>
          <a:off x="6400800" y="1943100"/>
          <a:ext cx="2702902" cy="10746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41</xdr:row>
      <xdr:rowOff>0</xdr:rowOff>
    </xdr:from>
    <xdr:to>
      <xdr:col>2</xdr:col>
      <xdr:colOff>304800</xdr:colOff>
      <xdr:row>42</xdr:row>
      <xdr:rowOff>19330</xdr:rowOff>
    </xdr:to>
    <xdr:sp macro="" textlink="">
      <xdr:nvSpPr>
        <xdr:cNvPr id="2" name="AutoShape 4" descr="+">
          <a:extLst>
            <a:ext uri="{FF2B5EF4-FFF2-40B4-BE49-F238E27FC236}">
              <a16:creationId xmlns:a16="http://schemas.microsoft.com/office/drawing/2014/main" id="{00000000-0008-0000-0B00-000002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3" name="AutoShape 5" descr="+">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39781</xdr:rowOff>
    </xdr:to>
    <xdr:sp macro="" textlink="">
      <xdr:nvSpPr>
        <xdr:cNvPr id="4" name="AutoShape 6" descr="+">
          <a:extLst>
            <a:ext uri="{FF2B5EF4-FFF2-40B4-BE49-F238E27FC236}">
              <a16:creationId xmlns:a16="http://schemas.microsoft.com/office/drawing/2014/main" id="{00000000-0008-0000-0B00-000004000000}"/>
            </a:ext>
          </a:extLst>
        </xdr:cNvPr>
        <xdr:cNvSpPr>
          <a:spLocks noChangeAspect="1" noChangeArrowheads="1"/>
        </xdr:cNvSpPr>
      </xdr:nvSpPr>
      <xdr:spPr bwMode="auto">
        <a:xfrm>
          <a:off x="0" y="20821650"/>
          <a:ext cx="304800" cy="2017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16549</xdr:rowOff>
    </xdr:to>
    <xdr:sp macro="" textlink="">
      <xdr:nvSpPr>
        <xdr:cNvPr id="5" name="AutoShape 7" descr="+">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0" y="20821650"/>
          <a:ext cx="304800" cy="17466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39782</xdr:rowOff>
    </xdr:to>
    <xdr:sp macro="" textlink="">
      <xdr:nvSpPr>
        <xdr:cNvPr id="6" name="AutoShape 8" descr="+">
          <a:extLst>
            <a:ext uri="{FF2B5EF4-FFF2-40B4-BE49-F238E27FC236}">
              <a16:creationId xmlns:a16="http://schemas.microsoft.com/office/drawing/2014/main" id="{00000000-0008-0000-0B00-000006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39779</xdr:rowOff>
    </xdr:to>
    <xdr:sp macro="" textlink="">
      <xdr:nvSpPr>
        <xdr:cNvPr id="7" name="AutoShape 9" descr="+">
          <a:extLst>
            <a:ext uri="{FF2B5EF4-FFF2-40B4-BE49-F238E27FC236}">
              <a16:creationId xmlns:a16="http://schemas.microsoft.com/office/drawing/2014/main" id="{00000000-0008-0000-0B00-000007000000}"/>
            </a:ext>
          </a:extLst>
        </xdr:cNvPr>
        <xdr:cNvSpPr>
          <a:spLocks noChangeAspect="1" noChangeArrowheads="1"/>
        </xdr:cNvSpPr>
      </xdr:nvSpPr>
      <xdr:spPr bwMode="auto">
        <a:xfrm>
          <a:off x="0" y="20821650"/>
          <a:ext cx="304800" cy="201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39782</xdr:rowOff>
    </xdr:to>
    <xdr:sp macro="" textlink="">
      <xdr:nvSpPr>
        <xdr:cNvPr id="8" name="AutoShape 10" descr="+">
          <a:extLst>
            <a:ext uri="{FF2B5EF4-FFF2-40B4-BE49-F238E27FC236}">
              <a16:creationId xmlns:a16="http://schemas.microsoft.com/office/drawing/2014/main" id="{00000000-0008-0000-0B00-000008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22634</xdr:rowOff>
    </xdr:to>
    <xdr:sp macro="" textlink="">
      <xdr:nvSpPr>
        <xdr:cNvPr id="9" name="AutoShape 11" descr="+">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0" y="20821650"/>
          <a:ext cx="304800" cy="1921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97192</xdr:rowOff>
    </xdr:to>
    <xdr:sp macro="" textlink="">
      <xdr:nvSpPr>
        <xdr:cNvPr id="10" name="AutoShape 12" descr="+">
          <a:extLst>
            <a:ext uri="{FF2B5EF4-FFF2-40B4-BE49-F238E27FC236}">
              <a16:creationId xmlns:a16="http://schemas.microsoft.com/office/drawing/2014/main" id="{00000000-0008-0000-0B00-00000A000000}"/>
            </a:ext>
          </a:extLst>
        </xdr:cNvPr>
        <xdr:cNvSpPr>
          <a:spLocks noChangeAspect="1" noChangeArrowheads="1"/>
        </xdr:cNvSpPr>
      </xdr:nvSpPr>
      <xdr:spPr bwMode="auto">
        <a:xfrm>
          <a:off x="0" y="20821650"/>
          <a:ext cx="304800" cy="2705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20730</xdr:rowOff>
    </xdr:to>
    <xdr:sp macro="" textlink="">
      <xdr:nvSpPr>
        <xdr:cNvPr id="11" name="AutoShape 13" descr="+">
          <a:extLst>
            <a:ext uri="{FF2B5EF4-FFF2-40B4-BE49-F238E27FC236}">
              <a16:creationId xmlns:a16="http://schemas.microsoft.com/office/drawing/2014/main" id="{00000000-0008-0000-0B00-00000B000000}"/>
            </a:ext>
          </a:extLst>
        </xdr:cNvPr>
        <xdr:cNvSpPr>
          <a:spLocks noChangeAspect="1" noChangeArrowheads="1"/>
        </xdr:cNvSpPr>
      </xdr:nvSpPr>
      <xdr:spPr bwMode="auto">
        <a:xfrm>
          <a:off x="0" y="20821650"/>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39782</xdr:rowOff>
    </xdr:to>
    <xdr:sp macro="" textlink="">
      <xdr:nvSpPr>
        <xdr:cNvPr id="12" name="AutoShape 14" descr="+">
          <a:extLst>
            <a:ext uri="{FF2B5EF4-FFF2-40B4-BE49-F238E27FC236}">
              <a16:creationId xmlns:a16="http://schemas.microsoft.com/office/drawing/2014/main" id="{00000000-0008-0000-0B00-00000C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39779</xdr:rowOff>
    </xdr:to>
    <xdr:sp macro="" textlink="">
      <xdr:nvSpPr>
        <xdr:cNvPr id="13" name="AutoShape 15" descr="+">
          <a:extLst>
            <a:ext uri="{FF2B5EF4-FFF2-40B4-BE49-F238E27FC236}">
              <a16:creationId xmlns:a16="http://schemas.microsoft.com/office/drawing/2014/main" id="{00000000-0008-0000-0B00-00000D000000}"/>
            </a:ext>
          </a:extLst>
        </xdr:cNvPr>
        <xdr:cNvSpPr>
          <a:spLocks noChangeAspect="1" noChangeArrowheads="1"/>
        </xdr:cNvSpPr>
      </xdr:nvSpPr>
      <xdr:spPr bwMode="auto">
        <a:xfrm>
          <a:off x="0" y="20821650"/>
          <a:ext cx="304800" cy="201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22355</xdr:rowOff>
    </xdr:to>
    <xdr:sp macro="" textlink="">
      <xdr:nvSpPr>
        <xdr:cNvPr id="14" name="AutoShape 16" descr="+">
          <a:extLst>
            <a:ext uri="{FF2B5EF4-FFF2-40B4-BE49-F238E27FC236}">
              <a16:creationId xmlns:a16="http://schemas.microsoft.com/office/drawing/2014/main" id="{00000000-0008-0000-0B00-00000E000000}"/>
            </a:ext>
          </a:extLst>
        </xdr:cNvPr>
        <xdr:cNvSpPr>
          <a:spLocks noChangeAspect="1" noChangeArrowheads="1"/>
        </xdr:cNvSpPr>
      </xdr:nvSpPr>
      <xdr:spPr bwMode="auto">
        <a:xfrm>
          <a:off x="0" y="20821650"/>
          <a:ext cx="304800" cy="191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20017</xdr:rowOff>
    </xdr:to>
    <xdr:sp macro="" textlink="">
      <xdr:nvSpPr>
        <xdr:cNvPr id="15" name="AutoShape 17" descr="+">
          <a:extLst>
            <a:ext uri="{FF2B5EF4-FFF2-40B4-BE49-F238E27FC236}">
              <a16:creationId xmlns:a16="http://schemas.microsoft.com/office/drawing/2014/main" id="{00000000-0008-0000-0B00-00000F000000}"/>
            </a:ext>
          </a:extLst>
        </xdr:cNvPr>
        <xdr:cNvSpPr>
          <a:spLocks noChangeAspect="1" noChangeArrowheads="1"/>
        </xdr:cNvSpPr>
      </xdr:nvSpPr>
      <xdr:spPr bwMode="auto">
        <a:xfrm>
          <a:off x="0" y="20821650"/>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20019</xdr:rowOff>
    </xdr:to>
    <xdr:sp macro="" textlink="">
      <xdr:nvSpPr>
        <xdr:cNvPr id="16" name="AutoShape 18" descr="+">
          <a:extLst>
            <a:ext uri="{FF2B5EF4-FFF2-40B4-BE49-F238E27FC236}">
              <a16:creationId xmlns:a16="http://schemas.microsoft.com/office/drawing/2014/main" id="{00000000-0008-0000-0B00-000010000000}"/>
            </a:ext>
          </a:extLst>
        </xdr:cNvPr>
        <xdr:cNvSpPr>
          <a:spLocks noChangeAspect="1" noChangeArrowheads="1"/>
        </xdr:cNvSpPr>
      </xdr:nvSpPr>
      <xdr:spPr bwMode="auto">
        <a:xfrm>
          <a:off x="0" y="20821650"/>
          <a:ext cx="304800" cy="1781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21419</xdr:rowOff>
    </xdr:to>
    <xdr:sp macro="" textlink="">
      <xdr:nvSpPr>
        <xdr:cNvPr id="17" name="AutoShape 19" descr="+">
          <a:extLst>
            <a:ext uri="{FF2B5EF4-FFF2-40B4-BE49-F238E27FC236}">
              <a16:creationId xmlns:a16="http://schemas.microsoft.com/office/drawing/2014/main" id="{00000000-0008-0000-0B00-000011000000}"/>
            </a:ext>
          </a:extLst>
        </xdr:cNvPr>
        <xdr:cNvSpPr>
          <a:spLocks noChangeAspect="1" noChangeArrowheads="1"/>
        </xdr:cNvSpPr>
      </xdr:nvSpPr>
      <xdr:spPr bwMode="auto">
        <a:xfrm>
          <a:off x="0" y="20821650"/>
          <a:ext cx="304800" cy="1795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20016</xdr:rowOff>
    </xdr:to>
    <xdr:sp macro="" textlink="">
      <xdr:nvSpPr>
        <xdr:cNvPr id="18" name="AutoShape 20" descr="+">
          <a:extLst>
            <a:ext uri="{FF2B5EF4-FFF2-40B4-BE49-F238E27FC236}">
              <a16:creationId xmlns:a16="http://schemas.microsoft.com/office/drawing/2014/main" id="{00000000-0008-0000-0B00-000012000000}"/>
            </a:ext>
          </a:extLst>
        </xdr:cNvPr>
        <xdr:cNvSpPr>
          <a:spLocks noChangeAspect="1" noChangeArrowheads="1"/>
        </xdr:cNvSpPr>
      </xdr:nvSpPr>
      <xdr:spPr bwMode="auto">
        <a:xfrm>
          <a:off x="0" y="20821650"/>
          <a:ext cx="304800" cy="178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53806</xdr:rowOff>
    </xdr:to>
    <xdr:sp macro="" textlink="">
      <xdr:nvSpPr>
        <xdr:cNvPr id="19" name="AutoShape 21" descr="+">
          <a:extLst>
            <a:ext uri="{FF2B5EF4-FFF2-40B4-BE49-F238E27FC236}">
              <a16:creationId xmlns:a16="http://schemas.microsoft.com/office/drawing/2014/main" id="{00000000-0008-0000-0B00-000013000000}"/>
            </a:ext>
          </a:extLst>
        </xdr:cNvPr>
        <xdr:cNvSpPr>
          <a:spLocks noChangeAspect="1" noChangeArrowheads="1"/>
        </xdr:cNvSpPr>
      </xdr:nvSpPr>
      <xdr:spPr bwMode="auto">
        <a:xfrm>
          <a:off x="0" y="20821650"/>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53801</xdr:rowOff>
    </xdr:to>
    <xdr:sp macro="" textlink="">
      <xdr:nvSpPr>
        <xdr:cNvPr id="20" name="AutoShape 22" descr="+">
          <a:extLst>
            <a:ext uri="{FF2B5EF4-FFF2-40B4-BE49-F238E27FC236}">
              <a16:creationId xmlns:a16="http://schemas.microsoft.com/office/drawing/2014/main" id="{00000000-0008-0000-0B00-000014000000}"/>
            </a:ext>
          </a:extLst>
        </xdr:cNvPr>
        <xdr:cNvSpPr>
          <a:spLocks noChangeAspect="1" noChangeArrowheads="1"/>
        </xdr:cNvSpPr>
      </xdr:nvSpPr>
      <xdr:spPr bwMode="auto">
        <a:xfrm>
          <a:off x="0" y="20821650"/>
          <a:ext cx="304800" cy="208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53805</xdr:rowOff>
    </xdr:to>
    <xdr:sp macro="" textlink="">
      <xdr:nvSpPr>
        <xdr:cNvPr id="21" name="AutoShape 23" descr="+">
          <a:extLst>
            <a:ext uri="{FF2B5EF4-FFF2-40B4-BE49-F238E27FC236}">
              <a16:creationId xmlns:a16="http://schemas.microsoft.com/office/drawing/2014/main" id="{00000000-0008-0000-0B00-000015000000}"/>
            </a:ext>
          </a:extLst>
        </xdr:cNvPr>
        <xdr:cNvSpPr>
          <a:spLocks noChangeAspect="1" noChangeArrowheads="1"/>
        </xdr:cNvSpPr>
      </xdr:nvSpPr>
      <xdr:spPr bwMode="auto">
        <a:xfrm>
          <a:off x="0" y="20821650"/>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36658</xdr:rowOff>
    </xdr:to>
    <xdr:sp macro="" textlink="">
      <xdr:nvSpPr>
        <xdr:cNvPr id="22" name="AutoShape 24" descr="+">
          <a:extLst>
            <a:ext uri="{FF2B5EF4-FFF2-40B4-BE49-F238E27FC236}">
              <a16:creationId xmlns:a16="http://schemas.microsoft.com/office/drawing/2014/main" id="{00000000-0008-0000-0B00-000016000000}"/>
            </a:ext>
          </a:extLst>
        </xdr:cNvPr>
        <xdr:cNvSpPr>
          <a:spLocks noChangeAspect="1" noChangeArrowheads="1"/>
        </xdr:cNvSpPr>
      </xdr:nvSpPr>
      <xdr:spPr bwMode="auto">
        <a:xfrm>
          <a:off x="0" y="20821650"/>
          <a:ext cx="304800" cy="1985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53804</xdr:rowOff>
    </xdr:to>
    <xdr:sp macro="" textlink="">
      <xdr:nvSpPr>
        <xdr:cNvPr id="23" name="AutoShape 25" descr="+">
          <a:extLst>
            <a:ext uri="{FF2B5EF4-FFF2-40B4-BE49-F238E27FC236}">
              <a16:creationId xmlns:a16="http://schemas.microsoft.com/office/drawing/2014/main" id="{00000000-0008-0000-0B00-000017000000}"/>
            </a:ext>
          </a:extLst>
        </xdr:cNvPr>
        <xdr:cNvSpPr>
          <a:spLocks noChangeAspect="1" noChangeArrowheads="1"/>
        </xdr:cNvSpPr>
      </xdr:nvSpPr>
      <xdr:spPr bwMode="auto">
        <a:xfrm>
          <a:off x="0" y="20821650"/>
          <a:ext cx="304800" cy="208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53804</xdr:rowOff>
    </xdr:to>
    <xdr:sp macro="" textlink="">
      <xdr:nvSpPr>
        <xdr:cNvPr id="24" name="AutoShape 26" descr="+">
          <a:extLst>
            <a:ext uri="{FF2B5EF4-FFF2-40B4-BE49-F238E27FC236}">
              <a16:creationId xmlns:a16="http://schemas.microsoft.com/office/drawing/2014/main" id="{00000000-0008-0000-0B00-000018000000}"/>
            </a:ext>
          </a:extLst>
        </xdr:cNvPr>
        <xdr:cNvSpPr>
          <a:spLocks noChangeAspect="1" noChangeArrowheads="1"/>
        </xdr:cNvSpPr>
      </xdr:nvSpPr>
      <xdr:spPr bwMode="auto">
        <a:xfrm>
          <a:off x="0" y="20821650"/>
          <a:ext cx="304800" cy="208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21419</xdr:rowOff>
    </xdr:to>
    <xdr:sp macro="" textlink="">
      <xdr:nvSpPr>
        <xdr:cNvPr id="25" name="AutoShape 27" descr="+">
          <a:extLst>
            <a:ext uri="{FF2B5EF4-FFF2-40B4-BE49-F238E27FC236}">
              <a16:creationId xmlns:a16="http://schemas.microsoft.com/office/drawing/2014/main" id="{00000000-0008-0000-0B00-000019000000}"/>
            </a:ext>
          </a:extLst>
        </xdr:cNvPr>
        <xdr:cNvSpPr>
          <a:spLocks noChangeAspect="1" noChangeArrowheads="1"/>
        </xdr:cNvSpPr>
      </xdr:nvSpPr>
      <xdr:spPr bwMode="auto">
        <a:xfrm>
          <a:off x="0" y="20821650"/>
          <a:ext cx="304800" cy="1795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53801</xdr:rowOff>
    </xdr:to>
    <xdr:sp macro="" textlink="">
      <xdr:nvSpPr>
        <xdr:cNvPr id="26" name="AutoShape 28" descr="+">
          <a:extLst>
            <a:ext uri="{FF2B5EF4-FFF2-40B4-BE49-F238E27FC236}">
              <a16:creationId xmlns:a16="http://schemas.microsoft.com/office/drawing/2014/main" id="{00000000-0008-0000-0B00-00001A000000}"/>
            </a:ext>
          </a:extLst>
        </xdr:cNvPr>
        <xdr:cNvSpPr>
          <a:spLocks noChangeAspect="1" noChangeArrowheads="1"/>
        </xdr:cNvSpPr>
      </xdr:nvSpPr>
      <xdr:spPr bwMode="auto">
        <a:xfrm>
          <a:off x="0" y="20821650"/>
          <a:ext cx="304800" cy="208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39785</xdr:rowOff>
    </xdr:to>
    <xdr:sp macro="" textlink="">
      <xdr:nvSpPr>
        <xdr:cNvPr id="27" name="AutoShape 29" descr="+">
          <a:extLst>
            <a:ext uri="{FF2B5EF4-FFF2-40B4-BE49-F238E27FC236}">
              <a16:creationId xmlns:a16="http://schemas.microsoft.com/office/drawing/2014/main" id="{00000000-0008-0000-0B00-00001B000000}"/>
            </a:ext>
          </a:extLst>
        </xdr:cNvPr>
        <xdr:cNvSpPr>
          <a:spLocks noChangeAspect="1" noChangeArrowheads="1"/>
        </xdr:cNvSpPr>
      </xdr:nvSpPr>
      <xdr:spPr bwMode="auto">
        <a:xfrm>
          <a:off x="0" y="20821650"/>
          <a:ext cx="304800" cy="2017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28" name="AutoShape 30" descr="+">
          <a:extLst>
            <a:ext uri="{FF2B5EF4-FFF2-40B4-BE49-F238E27FC236}">
              <a16:creationId xmlns:a16="http://schemas.microsoft.com/office/drawing/2014/main" id="{00000000-0008-0000-0B00-00001C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29" name="AutoShape 31" descr="+">
          <a:extLst>
            <a:ext uri="{FF2B5EF4-FFF2-40B4-BE49-F238E27FC236}">
              <a16:creationId xmlns:a16="http://schemas.microsoft.com/office/drawing/2014/main" id="{00000000-0008-0000-0B00-00001D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30" name="AutoShape 32" descr="+">
          <a:extLst>
            <a:ext uri="{FF2B5EF4-FFF2-40B4-BE49-F238E27FC236}">
              <a16:creationId xmlns:a16="http://schemas.microsoft.com/office/drawing/2014/main" id="{00000000-0008-0000-0B00-00001E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41162</xdr:rowOff>
    </xdr:to>
    <xdr:sp macro="" textlink="">
      <xdr:nvSpPr>
        <xdr:cNvPr id="31" name="AutoShape 33" descr="+">
          <a:extLst>
            <a:ext uri="{FF2B5EF4-FFF2-40B4-BE49-F238E27FC236}">
              <a16:creationId xmlns:a16="http://schemas.microsoft.com/office/drawing/2014/main" id="{00000000-0008-0000-0B00-00001F000000}"/>
            </a:ext>
          </a:extLst>
        </xdr:cNvPr>
        <xdr:cNvSpPr>
          <a:spLocks noChangeAspect="1" noChangeArrowheads="1"/>
        </xdr:cNvSpPr>
      </xdr:nvSpPr>
      <xdr:spPr bwMode="auto">
        <a:xfrm>
          <a:off x="0" y="20821650"/>
          <a:ext cx="304800" cy="203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58112</xdr:rowOff>
    </xdr:to>
    <xdr:sp macro="" textlink="">
      <xdr:nvSpPr>
        <xdr:cNvPr id="32" name="AutoShape 34" descr="+">
          <a:extLst>
            <a:ext uri="{FF2B5EF4-FFF2-40B4-BE49-F238E27FC236}">
              <a16:creationId xmlns:a16="http://schemas.microsoft.com/office/drawing/2014/main" id="{00000000-0008-0000-0B00-000020000000}"/>
            </a:ext>
          </a:extLst>
        </xdr:cNvPr>
        <xdr:cNvSpPr>
          <a:spLocks noChangeAspect="1" noChangeArrowheads="1"/>
        </xdr:cNvSpPr>
      </xdr:nvSpPr>
      <xdr:spPr bwMode="auto">
        <a:xfrm>
          <a:off x="0" y="2082165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33" name="AutoShape 52" descr="+">
          <a:extLst>
            <a:ext uri="{FF2B5EF4-FFF2-40B4-BE49-F238E27FC236}">
              <a16:creationId xmlns:a16="http://schemas.microsoft.com/office/drawing/2014/main" id="{00000000-0008-0000-0B00-000021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34" name="AutoShape 53" descr="+">
          <a:extLst>
            <a:ext uri="{FF2B5EF4-FFF2-40B4-BE49-F238E27FC236}">
              <a16:creationId xmlns:a16="http://schemas.microsoft.com/office/drawing/2014/main" id="{00000000-0008-0000-0B00-000022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20962</xdr:rowOff>
    </xdr:to>
    <xdr:sp macro="" textlink="">
      <xdr:nvSpPr>
        <xdr:cNvPr id="35" name="AutoShape 54" descr="+">
          <a:extLst>
            <a:ext uri="{FF2B5EF4-FFF2-40B4-BE49-F238E27FC236}">
              <a16:creationId xmlns:a16="http://schemas.microsoft.com/office/drawing/2014/main" id="{00000000-0008-0000-0B00-000023000000}"/>
            </a:ext>
          </a:extLst>
        </xdr:cNvPr>
        <xdr:cNvSpPr>
          <a:spLocks noChangeAspect="1" noChangeArrowheads="1"/>
        </xdr:cNvSpPr>
      </xdr:nvSpPr>
      <xdr:spPr bwMode="auto">
        <a:xfrm>
          <a:off x="0" y="20821650"/>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36" name="AutoShape 55" descr="+">
          <a:extLst>
            <a:ext uri="{FF2B5EF4-FFF2-40B4-BE49-F238E27FC236}">
              <a16:creationId xmlns:a16="http://schemas.microsoft.com/office/drawing/2014/main" id="{00000000-0008-0000-0B00-000024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37" name="AutoShape 56" descr="+">
          <a:extLst>
            <a:ext uri="{FF2B5EF4-FFF2-40B4-BE49-F238E27FC236}">
              <a16:creationId xmlns:a16="http://schemas.microsoft.com/office/drawing/2014/main" id="{00000000-0008-0000-0B00-000025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58108</xdr:rowOff>
    </xdr:to>
    <xdr:sp macro="" textlink="">
      <xdr:nvSpPr>
        <xdr:cNvPr id="38" name="AutoShape 57" descr="+">
          <a:extLst>
            <a:ext uri="{FF2B5EF4-FFF2-40B4-BE49-F238E27FC236}">
              <a16:creationId xmlns:a16="http://schemas.microsoft.com/office/drawing/2014/main" id="{00000000-0008-0000-0B00-000026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39" name="AutoShape 58" descr="+">
          <a:extLst>
            <a:ext uri="{FF2B5EF4-FFF2-40B4-BE49-F238E27FC236}">
              <a16:creationId xmlns:a16="http://schemas.microsoft.com/office/drawing/2014/main" id="{00000000-0008-0000-0B00-000027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135255</xdr:rowOff>
    </xdr:to>
    <xdr:sp macro="" textlink="">
      <xdr:nvSpPr>
        <xdr:cNvPr id="40" name="AutoShape 59" descr="+">
          <a:extLst>
            <a:ext uri="{FF2B5EF4-FFF2-40B4-BE49-F238E27FC236}">
              <a16:creationId xmlns:a16="http://schemas.microsoft.com/office/drawing/2014/main" id="{00000000-0008-0000-0B00-000028000000}"/>
            </a:ext>
          </a:extLst>
        </xdr:cNvPr>
        <xdr:cNvSpPr>
          <a:spLocks noChangeAspect="1" noChangeArrowheads="1"/>
        </xdr:cNvSpPr>
      </xdr:nvSpPr>
      <xdr:spPr bwMode="auto">
        <a:xfrm>
          <a:off x="0" y="208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16201</xdr:rowOff>
    </xdr:to>
    <xdr:sp macro="" textlink="">
      <xdr:nvSpPr>
        <xdr:cNvPr id="41" name="AutoShape 60" descr="+">
          <a:extLst>
            <a:ext uri="{FF2B5EF4-FFF2-40B4-BE49-F238E27FC236}">
              <a16:creationId xmlns:a16="http://schemas.microsoft.com/office/drawing/2014/main" id="{00000000-0008-0000-0B00-000029000000}"/>
            </a:ext>
          </a:extLst>
        </xdr:cNvPr>
        <xdr:cNvSpPr>
          <a:spLocks noChangeAspect="1" noChangeArrowheads="1"/>
        </xdr:cNvSpPr>
      </xdr:nvSpPr>
      <xdr:spPr bwMode="auto">
        <a:xfrm>
          <a:off x="0" y="2082165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42" name="AutoShape 61" descr="+">
          <a:extLst>
            <a:ext uri="{FF2B5EF4-FFF2-40B4-BE49-F238E27FC236}">
              <a16:creationId xmlns:a16="http://schemas.microsoft.com/office/drawing/2014/main" id="{00000000-0008-0000-0B00-00002A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43" name="AutoShape 62" descr="+">
          <a:extLst>
            <a:ext uri="{FF2B5EF4-FFF2-40B4-BE49-F238E27FC236}">
              <a16:creationId xmlns:a16="http://schemas.microsoft.com/office/drawing/2014/main" id="{00000000-0008-0000-0B00-00002B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44" name="AutoShape 63" descr="+">
          <a:extLst>
            <a:ext uri="{FF2B5EF4-FFF2-40B4-BE49-F238E27FC236}">
              <a16:creationId xmlns:a16="http://schemas.microsoft.com/office/drawing/2014/main" id="{00000000-0008-0000-0B00-00002C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45" name="AutoShape 64" descr="+">
          <a:extLst>
            <a:ext uri="{FF2B5EF4-FFF2-40B4-BE49-F238E27FC236}">
              <a16:creationId xmlns:a16="http://schemas.microsoft.com/office/drawing/2014/main" id="{00000000-0008-0000-0B00-00002D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20960</xdr:rowOff>
    </xdr:to>
    <xdr:sp macro="" textlink="">
      <xdr:nvSpPr>
        <xdr:cNvPr id="46" name="AutoShape 65" descr="+">
          <a:extLst>
            <a:ext uri="{FF2B5EF4-FFF2-40B4-BE49-F238E27FC236}">
              <a16:creationId xmlns:a16="http://schemas.microsoft.com/office/drawing/2014/main" id="{00000000-0008-0000-0B00-00002E000000}"/>
            </a:ext>
          </a:extLst>
        </xdr:cNvPr>
        <xdr:cNvSpPr>
          <a:spLocks noChangeAspect="1" noChangeArrowheads="1"/>
        </xdr:cNvSpPr>
      </xdr:nvSpPr>
      <xdr:spPr bwMode="auto">
        <a:xfrm>
          <a:off x="0" y="20821650"/>
          <a:ext cx="304800" cy="1866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47" name="AutoShape 66" descr="+">
          <a:extLst>
            <a:ext uri="{FF2B5EF4-FFF2-40B4-BE49-F238E27FC236}">
              <a16:creationId xmlns:a16="http://schemas.microsoft.com/office/drawing/2014/main" id="{00000000-0008-0000-0B00-00002F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53612</xdr:rowOff>
    </xdr:to>
    <xdr:sp macro="" textlink="">
      <xdr:nvSpPr>
        <xdr:cNvPr id="48" name="AutoShape 67" descr="+">
          <a:extLst>
            <a:ext uri="{FF2B5EF4-FFF2-40B4-BE49-F238E27FC236}">
              <a16:creationId xmlns:a16="http://schemas.microsoft.com/office/drawing/2014/main" id="{00000000-0008-0000-0B00-000030000000}"/>
            </a:ext>
          </a:extLst>
        </xdr:cNvPr>
        <xdr:cNvSpPr>
          <a:spLocks noChangeAspect="1" noChangeArrowheads="1"/>
        </xdr:cNvSpPr>
      </xdr:nvSpPr>
      <xdr:spPr bwMode="auto">
        <a:xfrm>
          <a:off x="0" y="2082165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53612</xdr:rowOff>
    </xdr:to>
    <xdr:sp macro="" textlink="">
      <xdr:nvSpPr>
        <xdr:cNvPr id="49" name="AutoShape 68" descr="+">
          <a:extLst>
            <a:ext uri="{FF2B5EF4-FFF2-40B4-BE49-F238E27FC236}">
              <a16:creationId xmlns:a16="http://schemas.microsoft.com/office/drawing/2014/main" id="{00000000-0008-0000-0B00-000031000000}"/>
            </a:ext>
          </a:extLst>
        </xdr:cNvPr>
        <xdr:cNvSpPr>
          <a:spLocks noChangeAspect="1" noChangeArrowheads="1"/>
        </xdr:cNvSpPr>
      </xdr:nvSpPr>
      <xdr:spPr bwMode="auto">
        <a:xfrm>
          <a:off x="0" y="2082165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50" name="AutoShape 69" descr="+">
          <a:extLst>
            <a:ext uri="{FF2B5EF4-FFF2-40B4-BE49-F238E27FC236}">
              <a16:creationId xmlns:a16="http://schemas.microsoft.com/office/drawing/2014/main" id="{00000000-0008-0000-0B00-000032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18376</xdr:rowOff>
    </xdr:to>
    <xdr:sp macro="" textlink="">
      <xdr:nvSpPr>
        <xdr:cNvPr id="51" name="AutoShape 70" descr="+">
          <a:extLst>
            <a:ext uri="{FF2B5EF4-FFF2-40B4-BE49-F238E27FC236}">
              <a16:creationId xmlns:a16="http://schemas.microsoft.com/office/drawing/2014/main" id="{00000000-0008-0000-0B00-000033000000}"/>
            </a:ext>
          </a:extLst>
        </xdr:cNvPr>
        <xdr:cNvSpPr>
          <a:spLocks noChangeAspect="1" noChangeArrowheads="1"/>
        </xdr:cNvSpPr>
      </xdr:nvSpPr>
      <xdr:spPr bwMode="auto">
        <a:xfrm>
          <a:off x="0" y="20821650"/>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19331</xdr:rowOff>
    </xdr:to>
    <xdr:sp macro="" textlink="">
      <xdr:nvSpPr>
        <xdr:cNvPr id="52" name="AutoShape 71" descr="+">
          <a:extLst>
            <a:ext uri="{FF2B5EF4-FFF2-40B4-BE49-F238E27FC236}">
              <a16:creationId xmlns:a16="http://schemas.microsoft.com/office/drawing/2014/main" id="{00000000-0008-0000-0B00-000034000000}"/>
            </a:ext>
          </a:extLst>
        </xdr:cNvPr>
        <xdr:cNvSpPr>
          <a:spLocks noChangeAspect="1" noChangeArrowheads="1"/>
        </xdr:cNvSpPr>
      </xdr:nvSpPr>
      <xdr:spPr bwMode="auto">
        <a:xfrm>
          <a:off x="0" y="2082165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58108</xdr:rowOff>
    </xdr:to>
    <xdr:sp macro="" textlink="">
      <xdr:nvSpPr>
        <xdr:cNvPr id="53" name="AutoShape 72" descr="+">
          <a:extLst>
            <a:ext uri="{FF2B5EF4-FFF2-40B4-BE49-F238E27FC236}">
              <a16:creationId xmlns:a16="http://schemas.microsoft.com/office/drawing/2014/main" id="{00000000-0008-0000-0B00-000035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54" name="AutoShape 73" descr="+">
          <a:extLst>
            <a:ext uri="{FF2B5EF4-FFF2-40B4-BE49-F238E27FC236}">
              <a16:creationId xmlns:a16="http://schemas.microsoft.com/office/drawing/2014/main" id="{00000000-0008-0000-0B00-000036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55" name="AutoShape 74" descr="+">
          <a:extLst>
            <a:ext uri="{FF2B5EF4-FFF2-40B4-BE49-F238E27FC236}">
              <a16:creationId xmlns:a16="http://schemas.microsoft.com/office/drawing/2014/main" id="{00000000-0008-0000-0B00-000037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56" name="AutoShape 75" descr="+">
          <a:extLst>
            <a:ext uri="{FF2B5EF4-FFF2-40B4-BE49-F238E27FC236}">
              <a16:creationId xmlns:a16="http://schemas.microsoft.com/office/drawing/2014/main" id="{00000000-0008-0000-0B00-000038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58108</xdr:rowOff>
    </xdr:to>
    <xdr:sp macro="" textlink="">
      <xdr:nvSpPr>
        <xdr:cNvPr id="57" name="AutoShape 76" descr="+">
          <a:extLst>
            <a:ext uri="{FF2B5EF4-FFF2-40B4-BE49-F238E27FC236}">
              <a16:creationId xmlns:a16="http://schemas.microsoft.com/office/drawing/2014/main" id="{00000000-0008-0000-0B00-000039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58" name="AutoShape 77" descr="+">
          <a:extLst>
            <a:ext uri="{FF2B5EF4-FFF2-40B4-BE49-F238E27FC236}">
              <a16:creationId xmlns:a16="http://schemas.microsoft.com/office/drawing/2014/main" id="{00000000-0008-0000-0B00-00003A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58108</xdr:rowOff>
    </xdr:to>
    <xdr:sp macro="" textlink="">
      <xdr:nvSpPr>
        <xdr:cNvPr id="59" name="AutoShape 78" descr="+">
          <a:extLst>
            <a:ext uri="{FF2B5EF4-FFF2-40B4-BE49-F238E27FC236}">
              <a16:creationId xmlns:a16="http://schemas.microsoft.com/office/drawing/2014/main" id="{00000000-0008-0000-0B00-00003B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16193</xdr:rowOff>
    </xdr:to>
    <xdr:sp macro="" textlink="">
      <xdr:nvSpPr>
        <xdr:cNvPr id="60" name="AutoShape 79" descr="+">
          <a:extLst>
            <a:ext uri="{FF2B5EF4-FFF2-40B4-BE49-F238E27FC236}">
              <a16:creationId xmlns:a16="http://schemas.microsoft.com/office/drawing/2014/main" id="{00000000-0008-0000-0B00-00003C000000}"/>
            </a:ext>
          </a:extLst>
        </xdr:cNvPr>
        <xdr:cNvSpPr>
          <a:spLocks noChangeAspect="1" noChangeArrowheads="1"/>
        </xdr:cNvSpPr>
      </xdr:nvSpPr>
      <xdr:spPr bwMode="auto">
        <a:xfrm>
          <a:off x="0" y="2162175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16192</xdr:rowOff>
    </xdr:to>
    <xdr:sp macro="" textlink="">
      <xdr:nvSpPr>
        <xdr:cNvPr id="61" name="AutoShape 80" descr="+">
          <a:extLst>
            <a:ext uri="{FF2B5EF4-FFF2-40B4-BE49-F238E27FC236}">
              <a16:creationId xmlns:a16="http://schemas.microsoft.com/office/drawing/2014/main" id="{00000000-0008-0000-0B00-00003D000000}"/>
            </a:ext>
          </a:extLst>
        </xdr:cNvPr>
        <xdr:cNvSpPr>
          <a:spLocks noChangeAspect="1" noChangeArrowheads="1"/>
        </xdr:cNvSpPr>
      </xdr:nvSpPr>
      <xdr:spPr bwMode="auto">
        <a:xfrm>
          <a:off x="0" y="217169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15919</xdr:rowOff>
    </xdr:to>
    <xdr:sp macro="" textlink="">
      <xdr:nvSpPr>
        <xdr:cNvPr id="62" name="AutoShape 81" descr="+">
          <a:extLst>
            <a:ext uri="{FF2B5EF4-FFF2-40B4-BE49-F238E27FC236}">
              <a16:creationId xmlns:a16="http://schemas.microsoft.com/office/drawing/2014/main" id="{00000000-0008-0000-0B00-00003E000000}"/>
            </a:ext>
          </a:extLst>
        </xdr:cNvPr>
        <xdr:cNvSpPr>
          <a:spLocks noChangeAspect="1" noChangeArrowheads="1"/>
        </xdr:cNvSpPr>
      </xdr:nvSpPr>
      <xdr:spPr bwMode="auto">
        <a:xfrm>
          <a:off x="0" y="22002750"/>
          <a:ext cx="304800" cy="18165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16192</xdr:rowOff>
    </xdr:to>
    <xdr:sp macro="" textlink="">
      <xdr:nvSpPr>
        <xdr:cNvPr id="63" name="AutoShape 82" descr="+">
          <a:extLst>
            <a:ext uri="{FF2B5EF4-FFF2-40B4-BE49-F238E27FC236}">
              <a16:creationId xmlns:a16="http://schemas.microsoft.com/office/drawing/2014/main" id="{00000000-0008-0000-0B00-00003F000000}"/>
            </a:ext>
          </a:extLst>
        </xdr:cNvPr>
        <xdr:cNvSpPr>
          <a:spLocks noChangeAspect="1" noChangeArrowheads="1"/>
        </xdr:cNvSpPr>
      </xdr:nvSpPr>
      <xdr:spPr bwMode="auto">
        <a:xfrm>
          <a:off x="0" y="2219325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54975</xdr:rowOff>
    </xdr:to>
    <xdr:sp macro="" textlink="">
      <xdr:nvSpPr>
        <xdr:cNvPr id="64" name="AutoShape 83" descr="+">
          <a:extLst>
            <a:ext uri="{FF2B5EF4-FFF2-40B4-BE49-F238E27FC236}">
              <a16:creationId xmlns:a16="http://schemas.microsoft.com/office/drawing/2014/main" id="{00000000-0008-0000-0B00-000040000000}"/>
            </a:ext>
          </a:extLst>
        </xdr:cNvPr>
        <xdr:cNvSpPr>
          <a:spLocks noChangeAspect="1" noChangeArrowheads="1"/>
        </xdr:cNvSpPr>
      </xdr:nvSpPr>
      <xdr:spPr bwMode="auto">
        <a:xfrm>
          <a:off x="0" y="2238375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54973</xdr:rowOff>
    </xdr:to>
    <xdr:sp macro="" textlink="">
      <xdr:nvSpPr>
        <xdr:cNvPr id="65" name="AutoShape 84" descr="+">
          <a:extLst>
            <a:ext uri="{FF2B5EF4-FFF2-40B4-BE49-F238E27FC236}">
              <a16:creationId xmlns:a16="http://schemas.microsoft.com/office/drawing/2014/main" id="{00000000-0008-0000-0B00-000041000000}"/>
            </a:ext>
          </a:extLst>
        </xdr:cNvPr>
        <xdr:cNvSpPr>
          <a:spLocks noChangeAspect="1" noChangeArrowheads="1"/>
        </xdr:cNvSpPr>
      </xdr:nvSpPr>
      <xdr:spPr bwMode="auto">
        <a:xfrm>
          <a:off x="0" y="225742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54972</xdr:rowOff>
    </xdr:to>
    <xdr:sp macro="" textlink="">
      <xdr:nvSpPr>
        <xdr:cNvPr id="66" name="AutoShape 85" descr="+">
          <a:extLst>
            <a:ext uri="{FF2B5EF4-FFF2-40B4-BE49-F238E27FC236}">
              <a16:creationId xmlns:a16="http://schemas.microsoft.com/office/drawing/2014/main" id="{00000000-0008-0000-0B00-000042000000}"/>
            </a:ext>
          </a:extLst>
        </xdr:cNvPr>
        <xdr:cNvSpPr>
          <a:spLocks noChangeAspect="1" noChangeArrowheads="1"/>
        </xdr:cNvSpPr>
      </xdr:nvSpPr>
      <xdr:spPr bwMode="auto">
        <a:xfrm>
          <a:off x="0" y="22764750"/>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16192</xdr:rowOff>
    </xdr:to>
    <xdr:sp macro="" textlink="">
      <xdr:nvSpPr>
        <xdr:cNvPr id="67" name="AutoShape 86" descr="+">
          <a:extLst>
            <a:ext uri="{FF2B5EF4-FFF2-40B4-BE49-F238E27FC236}">
              <a16:creationId xmlns:a16="http://schemas.microsoft.com/office/drawing/2014/main" id="{00000000-0008-0000-0B00-000043000000}"/>
            </a:ext>
          </a:extLst>
        </xdr:cNvPr>
        <xdr:cNvSpPr>
          <a:spLocks noChangeAspect="1" noChangeArrowheads="1"/>
        </xdr:cNvSpPr>
      </xdr:nvSpPr>
      <xdr:spPr bwMode="auto">
        <a:xfrm>
          <a:off x="0" y="2295525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54973</xdr:rowOff>
    </xdr:to>
    <xdr:sp macro="" textlink="">
      <xdr:nvSpPr>
        <xdr:cNvPr id="68" name="AutoShape 87" descr="+">
          <a:extLst>
            <a:ext uri="{FF2B5EF4-FFF2-40B4-BE49-F238E27FC236}">
              <a16:creationId xmlns:a16="http://schemas.microsoft.com/office/drawing/2014/main" id="{00000000-0008-0000-0B00-000044000000}"/>
            </a:ext>
          </a:extLst>
        </xdr:cNvPr>
        <xdr:cNvSpPr>
          <a:spLocks noChangeAspect="1" noChangeArrowheads="1"/>
        </xdr:cNvSpPr>
      </xdr:nvSpPr>
      <xdr:spPr bwMode="auto">
        <a:xfrm>
          <a:off x="0" y="231457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54973</xdr:rowOff>
    </xdr:to>
    <xdr:sp macro="" textlink="">
      <xdr:nvSpPr>
        <xdr:cNvPr id="69" name="AutoShape 88" descr="+">
          <a:extLst>
            <a:ext uri="{FF2B5EF4-FFF2-40B4-BE49-F238E27FC236}">
              <a16:creationId xmlns:a16="http://schemas.microsoft.com/office/drawing/2014/main" id="{00000000-0008-0000-0B00-000045000000}"/>
            </a:ext>
          </a:extLst>
        </xdr:cNvPr>
        <xdr:cNvSpPr>
          <a:spLocks noChangeAspect="1" noChangeArrowheads="1"/>
        </xdr:cNvSpPr>
      </xdr:nvSpPr>
      <xdr:spPr bwMode="auto">
        <a:xfrm>
          <a:off x="0" y="233362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54974</xdr:rowOff>
    </xdr:to>
    <xdr:sp macro="" textlink="">
      <xdr:nvSpPr>
        <xdr:cNvPr id="70" name="AutoShape 89" descr="+">
          <a:extLst>
            <a:ext uri="{FF2B5EF4-FFF2-40B4-BE49-F238E27FC236}">
              <a16:creationId xmlns:a16="http://schemas.microsoft.com/office/drawing/2014/main" id="{00000000-0008-0000-0B00-000046000000}"/>
            </a:ext>
          </a:extLst>
        </xdr:cNvPr>
        <xdr:cNvSpPr>
          <a:spLocks noChangeAspect="1" noChangeArrowheads="1"/>
        </xdr:cNvSpPr>
      </xdr:nvSpPr>
      <xdr:spPr bwMode="auto">
        <a:xfrm>
          <a:off x="0" y="235267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54971</xdr:rowOff>
    </xdr:to>
    <xdr:sp macro="" textlink="">
      <xdr:nvSpPr>
        <xdr:cNvPr id="71" name="AutoShape 90" descr="+">
          <a:extLst>
            <a:ext uri="{FF2B5EF4-FFF2-40B4-BE49-F238E27FC236}">
              <a16:creationId xmlns:a16="http://schemas.microsoft.com/office/drawing/2014/main" id="{00000000-0008-0000-0B00-000047000000}"/>
            </a:ext>
          </a:extLst>
        </xdr:cNvPr>
        <xdr:cNvSpPr>
          <a:spLocks noChangeAspect="1" noChangeArrowheads="1"/>
        </xdr:cNvSpPr>
      </xdr:nvSpPr>
      <xdr:spPr bwMode="auto">
        <a:xfrm>
          <a:off x="0" y="23717250"/>
          <a:ext cx="304800" cy="20546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131783</xdr:rowOff>
    </xdr:to>
    <xdr:sp macro="" textlink="">
      <xdr:nvSpPr>
        <xdr:cNvPr id="72" name="AutoShape 91" descr="+">
          <a:extLst>
            <a:ext uri="{FF2B5EF4-FFF2-40B4-BE49-F238E27FC236}">
              <a16:creationId xmlns:a16="http://schemas.microsoft.com/office/drawing/2014/main" id="{00000000-0008-0000-0B00-000048000000}"/>
            </a:ext>
          </a:extLst>
        </xdr:cNvPr>
        <xdr:cNvSpPr>
          <a:spLocks noChangeAspect="1" noChangeArrowheads="1"/>
        </xdr:cNvSpPr>
      </xdr:nvSpPr>
      <xdr:spPr bwMode="auto">
        <a:xfrm>
          <a:off x="0" y="23907750"/>
          <a:ext cx="304800" cy="3070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17144</xdr:rowOff>
    </xdr:to>
    <xdr:sp macro="" textlink="">
      <xdr:nvSpPr>
        <xdr:cNvPr id="73" name="AutoShape 92" descr="+">
          <a:extLst>
            <a:ext uri="{FF2B5EF4-FFF2-40B4-BE49-F238E27FC236}">
              <a16:creationId xmlns:a16="http://schemas.microsoft.com/office/drawing/2014/main" id="{00000000-0008-0000-0B00-000049000000}"/>
            </a:ext>
          </a:extLst>
        </xdr:cNvPr>
        <xdr:cNvSpPr>
          <a:spLocks noChangeAspect="1" noChangeArrowheads="1"/>
        </xdr:cNvSpPr>
      </xdr:nvSpPr>
      <xdr:spPr bwMode="auto">
        <a:xfrm>
          <a:off x="0" y="24098250"/>
          <a:ext cx="304800" cy="1714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54974</xdr:rowOff>
    </xdr:to>
    <xdr:sp macro="" textlink="">
      <xdr:nvSpPr>
        <xdr:cNvPr id="74" name="AutoShape 93" descr="+">
          <a:extLst>
            <a:ext uri="{FF2B5EF4-FFF2-40B4-BE49-F238E27FC236}">
              <a16:creationId xmlns:a16="http://schemas.microsoft.com/office/drawing/2014/main" id="{00000000-0008-0000-0B00-00004A000000}"/>
            </a:ext>
          </a:extLst>
        </xdr:cNvPr>
        <xdr:cNvSpPr>
          <a:spLocks noChangeAspect="1" noChangeArrowheads="1"/>
        </xdr:cNvSpPr>
      </xdr:nvSpPr>
      <xdr:spPr bwMode="auto">
        <a:xfrm>
          <a:off x="0" y="242887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54974</xdr:rowOff>
    </xdr:to>
    <xdr:sp macro="" textlink="">
      <xdr:nvSpPr>
        <xdr:cNvPr id="75" name="AutoShape 94" descr="+">
          <a:extLst>
            <a:ext uri="{FF2B5EF4-FFF2-40B4-BE49-F238E27FC236}">
              <a16:creationId xmlns:a16="http://schemas.microsoft.com/office/drawing/2014/main" id="{00000000-0008-0000-0B00-00004B000000}"/>
            </a:ext>
          </a:extLst>
        </xdr:cNvPr>
        <xdr:cNvSpPr>
          <a:spLocks noChangeAspect="1" noChangeArrowheads="1"/>
        </xdr:cNvSpPr>
      </xdr:nvSpPr>
      <xdr:spPr bwMode="auto">
        <a:xfrm>
          <a:off x="0" y="244792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38782</xdr:rowOff>
    </xdr:to>
    <xdr:sp macro="" textlink="">
      <xdr:nvSpPr>
        <xdr:cNvPr id="76" name="AutoShape 95" descr="+">
          <a:extLst>
            <a:ext uri="{FF2B5EF4-FFF2-40B4-BE49-F238E27FC236}">
              <a16:creationId xmlns:a16="http://schemas.microsoft.com/office/drawing/2014/main" id="{00000000-0008-0000-0B00-00004C000000}"/>
            </a:ext>
          </a:extLst>
        </xdr:cNvPr>
        <xdr:cNvSpPr>
          <a:spLocks noChangeAspect="1" noChangeArrowheads="1"/>
        </xdr:cNvSpPr>
      </xdr:nvSpPr>
      <xdr:spPr bwMode="auto">
        <a:xfrm>
          <a:off x="0" y="24669750"/>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77" name="AutoShape 96" descr="+">
          <a:extLst>
            <a:ext uri="{FF2B5EF4-FFF2-40B4-BE49-F238E27FC236}">
              <a16:creationId xmlns:a16="http://schemas.microsoft.com/office/drawing/2014/main" id="{00000000-0008-0000-0B00-00004D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78" name="AutoShape 97" descr="+">
          <a:extLst>
            <a:ext uri="{FF2B5EF4-FFF2-40B4-BE49-F238E27FC236}">
              <a16:creationId xmlns:a16="http://schemas.microsoft.com/office/drawing/2014/main" id="{00000000-0008-0000-0B00-00004E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18376</xdr:rowOff>
    </xdr:to>
    <xdr:sp macro="" textlink="">
      <xdr:nvSpPr>
        <xdr:cNvPr id="79" name="AutoShape 98" descr="+">
          <a:extLst>
            <a:ext uri="{FF2B5EF4-FFF2-40B4-BE49-F238E27FC236}">
              <a16:creationId xmlns:a16="http://schemas.microsoft.com/office/drawing/2014/main" id="{00000000-0008-0000-0B00-00004F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58112</xdr:rowOff>
    </xdr:to>
    <xdr:sp macro="" textlink="">
      <xdr:nvSpPr>
        <xdr:cNvPr id="80" name="AutoShape 99" descr="+">
          <a:extLst>
            <a:ext uri="{FF2B5EF4-FFF2-40B4-BE49-F238E27FC236}">
              <a16:creationId xmlns:a16="http://schemas.microsoft.com/office/drawing/2014/main" id="{00000000-0008-0000-0B00-000050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16200</xdr:rowOff>
    </xdr:to>
    <xdr:sp macro="" textlink="">
      <xdr:nvSpPr>
        <xdr:cNvPr id="81" name="AutoShape 100" descr="+">
          <a:extLst>
            <a:ext uri="{FF2B5EF4-FFF2-40B4-BE49-F238E27FC236}">
              <a16:creationId xmlns:a16="http://schemas.microsoft.com/office/drawing/2014/main" id="{00000000-0008-0000-0B00-000051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82" name="AutoShape 101" descr="+">
          <a:extLst>
            <a:ext uri="{FF2B5EF4-FFF2-40B4-BE49-F238E27FC236}">
              <a16:creationId xmlns:a16="http://schemas.microsoft.com/office/drawing/2014/main" id="{00000000-0008-0000-0B00-00005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58108</xdr:rowOff>
    </xdr:to>
    <xdr:sp macro="" textlink="">
      <xdr:nvSpPr>
        <xdr:cNvPr id="83" name="AutoShape 102" descr="+">
          <a:extLst>
            <a:ext uri="{FF2B5EF4-FFF2-40B4-BE49-F238E27FC236}">
              <a16:creationId xmlns:a16="http://schemas.microsoft.com/office/drawing/2014/main" id="{00000000-0008-0000-0B00-000053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58112</xdr:rowOff>
    </xdr:to>
    <xdr:sp macro="" textlink="">
      <xdr:nvSpPr>
        <xdr:cNvPr id="84" name="AutoShape 103" descr="+">
          <a:extLst>
            <a:ext uri="{FF2B5EF4-FFF2-40B4-BE49-F238E27FC236}">
              <a16:creationId xmlns:a16="http://schemas.microsoft.com/office/drawing/2014/main" id="{00000000-0008-0000-0B00-000054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58108</xdr:rowOff>
    </xdr:to>
    <xdr:sp macro="" textlink="">
      <xdr:nvSpPr>
        <xdr:cNvPr id="85" name="AutoShape 104" descr="+">
          <a:extLst>
            <a:ext uri="{FF2B5EF4-FFF2-40B4-BE49-F238E27FC236}">
              <a16:creationId xmlns:a16="http://schemas.microsoft.com/office/drawing/2014/main" id="{00000000-0008-0000-0B00-000055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19732</xdr:rowOff>
    </xdr:to>
    <xdr:sp macro="" textlink="">
      <xdr:nvSpPr>
        <xdr:cNvPr id="86" name="AutoShape 105" descr="+">
          <a:extLst>
            <a:ext uri="{FF2B5EF4-FFF2-40B4-BE49-F238E27FC236}">
              <a16:creationId xmlns:a16="http://schemas.microsoft.com/office/drawing/2014/main" id="{00000000-0008-0000-0B00-000056000000}"/>
            </a:ext>
          </a:extLst>
        </xdr:cNvPr>
        <xdr:cNvSpPr>
          <a:spLocks noChangeAspect="1" noChangeArrowheads="1"/>
        </xdr:cNvSpPr>
      </xdr:nvSpPr>
      <xdr:spPr bwMode="auto">
        <a:xfrm>
          <a:off x="0" y="25155525"/>
          <a:ext cx="304800" cy="172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38779</xdr:rowOff>
    </xdr:to>
    <xdr:sp macro="" textlink="">
      <xdr:nvSpPr>
        <xdr:cNvPr id="87" name="AutoShape 106" descr="+">
          <a:extLst>
            <a:ext uri="{FF2B5EF4-FFF2-40B4-BE49-F238E27FC236}">
              <a16:creationId xmlns:a16="http://schemas.microsoft.com/office/drawing/2014/main" id="{00000000-0008-0000-0B00-000057000000}"/>
            </a:ext>
          </a:extLst>
        </xdr:cNvPr>
        <xdr:cNvSpPr>
          <a:spLocks noChangeAspect="1" noChangeArrowheads="1"/>
        </xdr:cNvSpPr>
      </xdr:nvSpPr>
      <xdr:spPr bwMode="auto">
        <a:xfrm>
          <a:off x="0" y="25155525"/>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53614</xdr:rowOff>
    </xdr:to>
    <xdr:sp macro="" textlink="">
      <xdr:nvSpPr>
        <xdr:cNvPr id="88" name="AutoShape 107" descr="+">
          <a:extLst>
            <a:ext uri="{FF2B5EF4-FFF2-40B4-BE49-F238E27FC236}">
              <a16:creationId xmlns:a16="http://schemas.microsoft.com/office/drawing/2014/main" id="{00000000-0008-0000-0B00-000058000000}"/>
            </a:ext>
          </a:extLst>
        </xdr:cNvPr>
        <xdr:cNvSpPr>
          <a:spLocks noChangeAspect="1" noChangeArrowheads="1"/>
        </xdr:cNvSpPr>
      </xdr:nvSpPr>
      <xdr:spPr bwMode="auto">
        <a:xfrm>
          <a:off x="0" y="2515552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89" name="AutoShape 108" descr="+">
          <a:extLst>
            <a:ext uri="{FF2B5EF4-FFF2-40B4-BE49-F238E27FC236}">
              <a16:creationId xmlns:a16="http://schemas.microsoft.com/office/drawing/2014/main" id="{00000000-0008-0000-0B00-000059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16202</xdr:rowOff>
    </xdr:to>
    <xdr:sp macro="" textlink="">
      <xdr:nvSpPr>
        <xdr:cNvPr id="90" name="AutoShape 109" descr="+">
          <a:extLst>
            <a:ext uri="{FF2B5EF4-FFF2-40B4-BE49-F238E27FC236}">
              <a16:creationId xmlns:a16="http://schemas.microsoft.com/office/drawing/2014/main" id="{00000000-0008-0000-0B00-00005A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91" name="AutoShape 110" descr="+">
          <a:extLst>
            <a:ext uri="{FF2B5EF4-FFF2-40B4-BE49-F238E27FC236}">
              <a16:creationId xmlns:a16="http://schemas.microsoft.com/office/drawing/2014/main" id="{00000000-0008-0000-0B00-00005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92" name="AutoShape 111" descr="+">
          <a:extLst>
            <a:ext uri="{FF2B5EF4-FFF2-40B4-BE49-F238E27FC236}">
              <a16:creationId xmlns:a16="http://schemas.microsoft.com/office/drawing/2014/main" id="{00000000-0008-0000-0B00-00005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93" name="AutoShape 112" descr="+">
          <a:extLst>
            <a:ext uri="{FF2B5EF4-FFF2-40B4-BE49-F238E27FC236}">
              <a16:creationId xmlns:a16="http://schemas.microsoft.com/office/drawing/2014/main" id="{00000000-0008-0000-0B00-00005D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21912</xdr:rowOff>
    </xdr:to>
    <xdr:sp macro="" textlink="">
      <xdr:nvSpPr>
        <xdr:cNvPr id="94" name="AutoShape 113" descr="+">
          <a:extLst>
            <a:ext uri="{FF2B5EF4-FFF2-40B4-BE49-F238E27FC236}">
              <a16:creationId xmlns:a16="http://schemas.microsoft.com/office/drawing/2014/main" id="{00000000-0008-0000-0B00-00005E000000}"/>
            </a:ext>
          </a:extLst>
        </xdr:cNvPr>
        <xdr:cNvSpPr>
          <a:spLocks noChangeAspect="1" noChangeArrowheads="1"/>
        </xdr:cNvSpPr>
      </xdr:nvSpPr>
      <xdr:spPr bwMode="auto">
        <a:xfrm>
          <a:off x="0" y="25155525"/>
          <a:ext cx="304800" cy="19145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95" name="AutoShape 114" descr="+">
          <a:extLst>
            <a:ext uri="{FF2B5EF4-FFF2-40B4-BE49-F238E27FC236}">
              <a16:creationId xmlns:a16="http://schemas.microsoft.com/office/drawing/2014/main" id="{00000000-0008-0000-0B00-00005F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96" name="AutoShape 115" descr="+">
          <a:extLst>
            <a:ext uri="{FF2B5EF4-FFF2-40B4-BE49-F238E27FC236}">
              <a16:creationId xmlns:a16="http://schemas.microsoft.com/office/drawing/2014/main" id="{00000000-0008-0000-0B00-00006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97" name="AutoShape 116" descr="+">
          <a:extLst>
            <a:ext uri="{FF2B5EF4-FFF2-40B4-BE49-F238E27FC236}">
              <a16:creationId xmlns:a16="http://schemas.microsoft.com/office/drawing/2014/main" id="{00000000-0008-0000-0B00-000061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98" name="AutoShape 117" descr="+">
          <a:extLst>
            <a:ext uri="{FF2B5EF4-FFF2-40B4-BE49-F238E27FC236}">
              <a16:creationId xmlns:a16="http://schemas.microsoft.com/office/drawing/2014/main" id="{00000000-0008-0000-0B00-00006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99" name="AutoShape 118" descr="+">
          <a:extLst>
            <a:ext uri="{FF2B5EF4-FFF2-40B4-BE49-F238E27FC236}">
              <a16:creationId xmlns:a16="http://schemas.microsoft.com/office/drawing/2014/main" id="{00000000-0008-0000-0B00-000063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58108</xdr:rowOff>
    </xdr:to>
    <xdr:sp macro="" textlink="">
      <xdr:nvSpPr>
        <xdr:cNvPr id="100" name="AutoShape 119" descr="+">
          <a:extLst>
            <a:ext uri="{FF2B5EF4-FFF2-40B4-BE49-F238E27FC236}">
              <a16:creationId xmlns:a16="http://schemas.microsoft.com/office/drawing/2014/main" id="{00000000-0008-0000-0B00-000064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101" name="AutoShape 120" descr="+">
          <a:extLst>
            <a:ext uri="{FF2B5EF4-FFF2-40B4-BE49-F238E27FC236}">
              <a16:creationId xmlns:a16="http://schemas.microsoft.com/office/drawing/2014/main" id="{00000000-0008-0000-0B00-000065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102" name="AutoShape 121" descr="+">
          <a:extLst>
            <a:ext uri="{FF2B5EF4-FFF2-40B4-BE49-F238E27FC236}">
              <a16:creationId xmlns:a16="http://schemas.microsoft.com/office/drawing/2014/main" id="{00000000-0008-0000-0B00-00006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16202</xdr:rowOff>
    </xdr:to>
    <xdr:sp macro="" textlink="">
      <xdr:nvSpPr>
        <xdr:cNvPr id="103" name="AutoShape 122" descr="+">
          <a:extLst>
            <a:ext uri="{FF2B5EF4-FFF2-40B4-BE49-F238E27FC236}">
              <a16:creationId xmlns:a16="http://schemas.microsoft.com/office/drawing/2014/main" id="{00000000-0008-0000-0B00-000067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18376</xdr:rowOff>
    </xdr:to>
    <xdr:sp macro="" textlink="">
      <xdr:nvSpPr>
        <xdr:cNvPr id="104" name="AutoShape 123" descr="+">
          <a:extLst>
            <a:ext uri="{FF2B5EF4-FFF2-40B4-BE49-F238E27FC236}">
              <a16:creationId xmlns:a16="http://schemas.microsoft.com/office/drawing/2014/main" id="{00000000-0008-0000-0B00-000068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105" name="AutoShape 124" descr="+">
          <a:extLst>
            <a:ext uri="{FF2B5EF4-FFF2-40B4-BE49-F238E27FC236}">
              <a16:creationId xmlns:a16="http://schemas.microsoft.com/office/drawing/2014/main" id="{00000000-0008-0000-0B00-000069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106" name="AutoShape 125" descr="+">
          <a:extLst>
            <a:ext uri="{FF2B5EF4-FFF2-40B4-BE49-F238E27FC236}">
              <a16:creationId xmlns:a16="http://schemas.microsoft.com/office/drawing/2014/main" id="{00000000-0008-0000-0B00-00006A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107" name="AutoShape 126" descr="+">
          <a:extLst>
            <a:ext uri="{FF2B5EF4-FFF2-40B4-BE49-F238E27FC236}">
              <a16:creationId xmlns:a16="http://schemas.microsoft.com/office/drawing/2014/main" id="{00000000-0008-0000-0B00-00006B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41162</xdr:rowOff>
    </xdr:to>
    <xdr:sp macro="" textlink="">
      <xdr:nvSpPr>
        <xdr:cNvPr id="108" name="AutoShape 127" descr="+">
          <a:extLst>
            <a:ext uri="{FF2B5EF4-FFF2-40B4-BE49-F238E27FC236}">
              <a16:creationId xmlns:a16="http://schemas.microsoft.com/office/drawing/2014/main" id="{00000000-0008-0000-0B00-00006C000000}"/>
            </a:ext>
          </a:extLst>
        </xdr:cNvPr>
        <xdr:cNvSpPr>
          <a:spLocks noChangeAspect="1" noChangeArrowheads="1"/>
        </xdr:cNvSpPr>
      </xdr:nvSpPr>
      <xdr:spPr bwMode="auto">
        <a:xfrm>
          <a:off x="0" y="25155525"/>
          <a:ext cx="304800" cy="203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41163</xdr:rowOff>
    </xdr:to>
    <xdr:sp macro="" textlink="">
      <xdr:nvSpPr>
        <xdr:cNvPr id="109" name="AutoShape 128" descr="+">
          <a:extLst>
            <a:ext uri="{FF2B5EF4-FFF2-40B4-BE49-F238E27FC236}">
              <a16:creationId xmlns:a16="http://schemas.microsoft.com/office/drawing/2014/main" id="{00000000-0008-0000-0B00-00006D000000}"/>
            </a:ext>
          </a:extLst>
        </xdr:cNvPr>
        <xdr:cNvSpPr>
          <a:spLocks noChangeAspect="1" noChangeArrowheads="1"/>
        </xdr:cNvSpPr>
      </xdr:nvSpPr>
      <xdr:spPr bwMode="auto">
        <a:xfrm>
          <a:off x="0" y="25155525"/>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58108</xdr:rowOff>
    </xdr:to>
    <xdr:sp macro="" textlink="">
      <xdr:nvSpPr>
        <xdr:cNvPr id="110" name="AutoShape 129" descr="+">
          <a:extLst>
            <a:ext uri="{FF2B5EF4-FFF2-40B4-BE49-F238E27FC236}">
              <a16:creationId xmlns:a16="http://schemas.microsoft.com/office/drawing/2014/main" id="{00000000-0008-0000-0B00-00006E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111" name="AutoShape 130" descr="+">
          <a:extLst>
            <a:ext uri="{FF2B5EF4-FFF2-40B4-BE49-F238E27FC236}">
              <a16:creationId xmlns:a16="http://schemas.microsoft.com/office/drawing/2014/main" id="{00000000-0008-0000-0B00-00006F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112" name="AutoShape 131" descr="+">
          <a:extLst>
            <a:ext uri="{FF2B5EF4-FFF2-40B4-BE49-F238E27FC236}">
              <a16:creationId xmlns:a16="http://schemas.microsoft.com/office/drawing/2014/main" id="{00000000-0008-0000-0B00-000070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113" name="AutoShape 132" descr="+">
          <a:extLst>
            <a:ext uri="{FF2B5EF4-FFF2-40B4-BE49-F238E27FC236}">
              <a16:creationId xmlns:a16="http://schemas.microsoft.com/office/drawing/2014/main" id="{00000000-0008-0000-0B00-00007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114" name="AutoShape 133" descr="+">
          <a:extLst>
            <a:ext uri="{FF2B5EF4-FFF2-40B4-BE49-F238E27FC236}">
              <a16:creationId xmlns:a16="http://schemas.microsoft.com/office/drawing/2014/main" id="{00000000-0008-0000-0B00-00007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115" name="AutoShape 134" descr="+">
          <a:extLst>
            <a:ext uri="{FF2B5EF4-FFF2-40B4-BE49-F238E27FC236}">
              <a16:creationId xmlns:a16="http://schemas.microsoft.com/office/drawing/2014/main" id="{00000000-0008-0000-0B00-00007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116" name="AutoShape 135" descr="+">
          <a:extLst>
            <a:ext uri="{FF2B5EF4-FFF2-40B4-BE49-F238E27FC236}">
              <a16:creationId xmlns:a16="http://schemas.microsoft.com/office/drawing/2014/main" id="{00000000-0008-0000-0B00-000074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117" name="AutoShape 136" descr="+">
          <a:extLst>
            <a:ext uri="{FF2B5EF4-FFF2-40B4-BE49-F238E27FC236}">
              <a16:creationId xmlns:a16="http://schemas.microsoft.com/office/drawing/2014/main" id="{00000000-0008-0000-0B00-000075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118" name="AutoShape 137" descr="+">
          <a:extLst>
            <a:ext uri="{FF2B5EF4-FFF2-40B4-BE49-F238E27FC236}">
              <a16:creationId xmlns:a16="http://schemas.microsoft.com/office/drawing/2014/main" id="{00000000-0008-0000-0B00-000076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119" name="AutoShape 138" descr="+">
          <a:extLst>
            <a:ext uri="{FF2B5EF4-FFF2-40B4-BE49-F238E27FC236}">
              <a16:creationId xmlns:a16="http://schemas.microsoft.com/office/drawing/2014/main" id="{00000000-0008-0000-0B00-000077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58108</xdr:rowOff>
    </xdr:to>
    <xdr:sp macro="" textlink="">
      <xdr:nvSpPr>
        <xdr:cNvPr id="120" name="AutoShape 139" descr="+">
          <a:extLst>
            <a:ext uri="{FF2B5EF4-FFF2-40B4-BE49-F238E27FC236}">
              <a16:creationId xmlns:a16="http://schemas.microsoft.com/office/drawing/2014/main" id="{00000000-0008-0000-0B00-000078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19331</xdr:rowOff>
    </xdr:to>
    <xdr:sp macro="" textlink="">
      <xdr:nvSpPr>
        <xdr:cNvPr id="121" name="AutoShape 140" descr="+">
          <a:extLst>
            <a:ext uri="{FF2B5EF4-FFF2-40B4-BE49-F238E27FC236}">
              <a16:creationId xmlns:a16="http://schemas.microsoft.com/office/drawing/2014/main" id="{00000000-0008-0000-0B00-000079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122" name="AutoShape 141" descr="+">
          <a:extLst>
            <a:ext uri="{FF2B5EF4-FFF2-40B4-BE49-F238E27FC236}">
              <a16:creationId xmlns:a16="http://schemas.microsoft.com/office/drawing/2014/main" id="{00000000-0008-0000-0B00-00007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123" name="AutoShape 142" descr="+">
          <a:extLst>
            <a:ext uri="{FF2B5EF4-FFF2-40B4-BE49-F238E27FC236}">
              <a16:creationId xmlns:a16="http://schemas.microsoft.com/office/drawing/2014/main" id="{00000000-0008-0000-0B00-00007B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43</xdr:row>
      <xdr:rowOff>3478</xdr:rowOff>
    </xdr:to>
    <xdr:sp macro="" textlink="">
      <xdr:nvSpPr>
        <xdr:cNvPr id="124" name="AutoShape 143" descr="+">
          <a:extLst>
            <a:ext uri="{FF2B5EF4-FFF2-40B4-BE49-F238E27FC236}">
              <a16:creationId xmlns:a16="http://schemas.microsoft.com/office/drawing/2014/main" id="{00000000-0008-0000-0B00-00007C000000}"/>
            </a:ext>
          </a:extLst>
        </xdr:cNvPr>
        <xdr:cNvSpPr>
          <a:spLocks noChangeAspect="1" noChangeArrowheads="1"/>
        </xdr:cNvSpPr>
      </xdr:nvSpPr>
      <xdr:spPr bwMode="auto">
        <a:xfrm>
          <a:off x="0" y="25155525"/>
          <a:ext cx="304800" cy="3273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125" name="AutoShape 144" descr="+">
          <a:extLst>
            <a:ext uri="{FF2B5EF4-FFF2-40B4-BE49-F238E27FC236}">
              <a16:creationId xmlns:a16="http://schemas.microsoft.com/office/drawing/2014/main" id="{00000000-0008-0000-0B00-00007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126" name="AutoShape 145" descr="+">
          <a:extLst>
            <a:ext uri="{FF2B5EF4-FFF2-40B4-BE49-F238E27FC236}">
              <a16:creationId xmlns:a16="http://schemas.microsoft.com/office/drawing/2014/main" id="{00000000-0008-0000-0B00-00007E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127" name="AutoShape 146" descr="+">
          <a:extLst>
            <a:ext uri="{FF2B5EF4-FFF2-40B4-BE49-F238E27FC236}">
              <a16:creationId xmlns:a16="http://schemas.microsoft.com/office/drawing/2014/main" id="{00000000-0008-0000-0B00-00007F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128" name="AutoShape 147" descr="+">
          <a:extLst>
            <a:ext uri="{FF2B5EF4-FFF2-40B4-BE49-F238E27FC236}">
              <a16:creationId xmlns:a16="http://schemas.microsoft.com/office/drawing/2014/main" id="{00000000-0008-0000-0B00-000080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16200</xdr:rowOff>
    </xdr:to>
    <xdr:sp macro="" textlink="">
      <xdr:nvSpPr>
        <xdr:cNvPr id="129" name="AutoShape 148" descr="+">
          <a:extLst>
            <a:ext uri="{FF2B5EF4-FFF2-40B4-BE49-F238E27FC236}">
              <a16:creationId xmlns:a16="http://schemas.microsoft.com/office/drawing/2014/main" id="{00000000-0008-0000-0B00-000081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21914</xdr:rowOff>
    </xdr:to>
    <xdr:sp macro="" textlink="">
      <xdr:nvSpPr>
        <xdr:cNvPr id="130" name="AutoShape 149" descr="+">
          <a:extLst>
            <a:ext uri="{FF2B5EF4-FFF2-40B4-BE49-F238E27FC236}">
              <a16:creationId xmlns:a16="http://schemas.microsoft.com/office/drawing/2014/main" id="{00000000-0008-0000-0B00-000082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131" name="AutoShape 150" descr="+">
          <a:extLst>
            <a:ext uri="{FF2B5EF4-FFF2-40B4-BE49-F238E27FC236}">
              <a16:creationId xmlns:a16="http://schemas.microsoft.com/office/drawing/2014/main" id="{00000000-0008-0000-0B00-00008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132" name="AutoShape 151" descr="+">
          <a:extLst>
            <a:ext uri="{FF2B5EF4-FFF2-40B4-BE49-F238E27FC236}">
              <a16:creationId xmlns:a16="http://schemas.microsoft.com/office/drawing/2014/main" id="{00000000-0008-0000-0B00-00008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133" name="AutoShape 152" descr="+">
          <a:extLst>
            <a:ext uri="{FF2B5EF4-FFF2-40B4-BE49-F238E27FC236}">
              <a16:creationId xmlns:a16="http://schemas.microsoft.com/office/drawing/2014/main" id="{00000000-0008-0000-0B00-000085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133345</xdr:rowOff>
    </xdr:to>
    <xdr:sp macro="" textlink="">
      <xdr:nvSpPr>
        <xdr:cNvPr id="134" name="AutoShape 153" descr="+">
          <a:extLst>
            <a:ext uri="{FF2B5EF4-FFF2-40B4-BE49-F238E27FC236}">
              <a16:creationId xmlns:a16="http://schemas.microsoft.com/office/drawing/2014/main" id="{00000000-0008-0000-0B00-000086000000}"/>
            </a:ext>
          </a:extLst>
        </xdr:cNvPr>
        <xdr:cNvSpPr>
          <a:spLocks noChangeAspect="1" noChangeArrowheads="1"/>
        </xdr:cNvSpPr>
      </xdr:nvSpPr>
      <xdr:spPr bwMode="auto">
        <a:xfrm>
          <a:off x="0" y="25155525"/>
          <a:ext cx="304800" cy="3047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20009</xdr:rowOff>
    </xdr:to>
    <xdr:sp macro="" textlink="">
      <xdr:nvSpPr>
        <xdr:cNvPr id="135" name="AutoShape 154" descr="+">
          <a:extLst>
            <a:ext uri="{FF2B5EF4-FFF2-40B4-BE49-F238E27FC236}">
              <a16:creationId xmlns:a16="http://schemas.microsoft.com/office/drawing/2014/main" id="{00000000-0008-0000-0B00-000087000000}"/>
            </a:ext>
          </a:extLst>
        </xdr:cNvPr>
        <xdr:cNvSpPr>
          <a:spLocks noChangeAspect="1" noChangeArrowheads="1"/>
        </xdr:cNvSpPr>
      </xdr:nvSpPr>
      <xdr:spPr bwMode="auto">
        <a:xfrm>
          <a:off x="0" y="25155525"/>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136" name="AutoShape 155" descr="+">
          <a:extLst>
            <a:ext uri="{FF2B5EF4-FFF2-40B4-BE49-F238E27FC236}">
              <a16:creationId xmlns:a16="http://schemas.microsoft.com/office/drawing/2014/main" id="{00000000-0008-0000-0B00-000088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53614</xdr:rowOff>
    </xdr:to>
    <xdr:sp macro="" textlink="">
      <xdr:nvSpPr>
        <xdr:cNvPr id="137" name="AutoShape 156" descr="+">
          <a:extLst>
            <a:ext uri="{FF2B5EF4-FFF2-40B4-BE49-F238E27FC236}">
              <a16:creationId xmlns:a16="http://schemas.microsoft.com/office/drawing/2014/main" id="{00000000-0008-0000-0B00-000089000000}"/>
            </a:ext>
          </a:extLst>
        </xdr:cNvPr>
        <xdr:cNvSpPr>
          <a:spLocks noChangeAspect="1" noChangeArrowheads="1"/>
        </xdr:cNvSpPr>
      </xdr:nvSpPr>
      <xdr:spPr bwMode="auto">
        <a:xfrm>
          <a:off x="0" y="2515552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53616</xdr:rowOff>
    </xdr:to>
    <xdr:sp macro="" textlink="">
      <xdr:nvSpPr>
        <xdr:cNvPr id="138" name="AutoShape 157" descr="+">
          <a:extLst>
            <a:ext uri="{FF2B5EF4-FFF2-40B4-BE49-F238E27FC236}">
              <a16:creationId xmlns:a16="http://schemas.microsoft.com/office/drawing/2014/main" id="{00000000-0008-0000-0B00-00008A000000}"/>
            </a:ext>
          </a:extLst>
        </xdr:cNvPr>
        <xdr:cNvSpPr>
          <a:spLocks noChangeAspect="1" noChangeArrowheads="1"/>
        </xdr:cNvSpPr>
      </xdr:nvSpPr>
      <xdr:spPr bwMode="auto">
        <a:xfrm>
          <a:off x="0" y="25155525"/>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139" name="AutoShape 158" descr="+">
          <a:extLst>
            <a:ext uri="{FF2B5EF4-FFF2-40B4-BE49-F238E27FC236}">
              <a16:creationId xmlns:a16="http://schemas.microsoft.com/office/drawing/2014/main" id="{00000000-0008-0000-0B00-00008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140" name="AutoShape 159" descr="+">
          <a:extLst>
            <a:ext uri="{FF2B5EF4-FFF2-40B4-BE49-F238E27FC236}">
              <a16:creationId xmlns:a16="http://schemas.microsoft.com/office/drawing/2014/main" id="{00000000-0008-0000-0B00-00008C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20960</xdr:rowOff>
    </xdr:to>
    <xdr:sp macro="" textlink="">
      <xdr:nvSpPr>
        <xdr:cNvPr id="141" name="AutoShape 160" descr="+">
          <a:extLst>
            <a:ext uri="{FF2B5EF4-FFF2-40B4-BE49-F238E27FC236}">
              <a16:creationId xmlns:a16="http://schemas.microsoft.com/office/drawing/2014/main" id="{00000000-0008-0000-0B00-00008D000000}"/>
            </a:ext>
          </a:extLst>
        </xdr:cNvPr>
        <xdr:cNvSpPr>
          <a:spLocks noChangeAspect="1" noChangeArrowheads="1"/>
        </xdr:cNvSpPr>
      </xdr:nvSpPr>
      <xdr:spPr bwMode="auto">
        <a:xfrm>
          <a:off x="0" y="25155525"/>
          <a:ext cx="304800" cy="1866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19331</xdr:rowOff>
    </xdr:to>
    <xdr:sp macro="" textlink="">
      <xdr:nvSpPr>
        <xdr:cNvPr id="142" name="AutoShape 161" descr="+">
          <a:extLst>
            <a:ext uri="{FF2B5EF4-FFF2-40B4-BE49-F238E27FC236}">
              <a16:creationId xmlns:a16="http://schemas.microsoft.com/office/drawing/2014/main" id="{00000000-0008-0000-0B00-00008E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143" name="AutoShape 162" descr="+">
          <a:extLst>
            <a:ext uri="{FF2B5EF4-FFF2-40B4-BE49-F238E27FC236}">
              <a16:creationId xmlns:a16="http://schemas.microsoft.com/office/drawing/2014/main" id="{00000000-0008-0000-0B00-00008F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144" name="AutoShape 163" descr="+">
          <a:extLst>
            <a:ext uri="{FF2B5EF4-FFF2-40B4-BE49-F238E27FC236}">
              <a16:creationId xmlns:a16="http://schemas.microsoft.com/office/drawing/2014/main" id="{00000000-0008-0000-0B00-00009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21914</xdr:rowOff>
    </xdr:to>
    <xdr:sp macro="" textlink="">
      <xdr:nvSpPr>
        <xdr:cNvPr id="145" name="AutoShape 164" descr="+">
          <a:extLst>
            <a:ext uri="{FF2B5EF4-FFF2-40B4-BE49-F238E27FC236}">
              <a16:creationId xmlns:a16="http://schemas.microsoft.com/office/drawing/2014/main" id="{00000000-0008-0000-0B00-000091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146" name="AutoShape 165" descr="+">
          <a:extLst>
            <a:ext uri="{FF2B5EF4-FFF2-40B4-BE49-F238E27FC236}">
              <a16:creationId xmlns:a16="http://schemas.microsoft.com/office/drawing/2014/main" id="{00000000-0008-0000-0B00-00009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147" name="AutoShape 166" descr="+">
          <a:extLst>
            <a:ext uri="{FF2B5EF4-FFF2-40B4-BE49-F238E27FC236}">
              <a16:creationId xmlns:a16="http://schemas.microsoft.com/office/drawing/2014/main" id="{00000000-0008-0000-0B00-00009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58112</xdr:rowOff>
    </xdr:to>
    <xdr:sp macro="" textlink="">
      <xdr:nvSpPr>
        <xdr:cNvPr id="148" name="AutoShape 167" descr="+">
          <a:extLst>
            <a:ext uri="{FF2B5EF4-FFF2-40B4-BE49-F238E27FC236}">
              <a16:creationId xmlns:a16="http://schemas.microsoft.com/office/drawing/2014/main" id="{00000000-0008-0000-0B00-000094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135529</xdr:rowOff>
    </xdr:to>
    <xdr:sp macro="" textlink="">
      <xdr:nvSpPr>
        <xdr:cNvPr id="149" name="AutoShape 168" descr="+">
          <a:extLst>
            <a:ext uri="{FF2B5EF4-FFF2-40B4-BE49-F238E27FC236}">
              <a16:creationId xmlns:a16="http://schemas.microsoft.com/office/drawing/2014/main" id="{00000000-0008-0000-0B00-000095000000}"/>
            </a:ext>
          </a:extLst>
        </xdr:cNvPr>
        <xdr:cNvSpPr>
          <a:spLocks noChangeAspect="1" noChangeArrowheads="1"/>
        </xdr:cNvSpPr>
      </xdr:nvSpPr>
      <xdr:spPr bwMode="auto">
        <a:xfrm>
          <a:off x="0" y="25155525"/>
          <a:ext cx="304800" cy="3088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17417</xdr:rowOff>
    </xdr:to>
    <xdr:sp macro="" textlink="">
      <xdr:nvSpPr>
        <xdr:cNvPr id="150" name="AutoShape 169" descr="+">
          <a:extLst>
            <a:ext uri="{FF2B5EF4-FFF2-40B4-BE49-F238E27FC236}">
              <a16:creationId xmlns:a16="http://schemas.microsoft.com/office/drawing/2014/main" id="{00000000-0008-0000-0B00-000096000000}"/>
            </a:ext>
          </a:extLst>
        </xdr:cNvPr>
        <xdr:cNvSpPr>
          <a:spLocks noChangeAspect="1" noChangeArrowheads="1"/>
        </xdr:cNvSpPr>
      </xdr:nvSpPr>
      <xdr:spPr bwMode="auto">
        <a:xfrm>
          <a:off x="0" y="25155525"/>
          <a:ext cx="304800" cy="1755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53610</xdr:rowOff>
    </xdr:to>
    <xdr:sp macro="" textlink="">
      <xdr:nvSpPr>
        <xdr:cNvPr id="151" name="AutoShape 170" descr="+">
          <a:extLst>
            <a:ext uri="{FF2B5EF4-FFF2-40B4-BE49-F238E27FC236}">
              <a16:creationId xmlns:a16="http://schemas.microsoft.com/office/drawing/2014/main" id="{00000000-0008-0000-0B00-000097000000}"/>
            </a:ext>
          </a:extLst>
        </xdr:cNvPr>
        <xdr:cNvSpPr>
          <a:spLocks noChangeAspect="1" noChangeArrowheads="1"/>
        </xdr:cNvSpPr>
      </xdr:nvSpPr>
      <xdr:spPr bwMode="auto">
        <a:xfrm>
          <a:off x="0" y="25155525"/>
          <a:ext cx="304800" cy="204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135527</xdr:rowOff>
    </xdr:to>
    <xdr:sp macro="" textlink="">
      <xdr:nvSpPr>
        <xdr:cNvPr id="152" name="AutoShape 171" descr="+">
          <a:extLst>
            <a:ext uri="{FF2B5EF4-FFF2-40B4-BE49-F238E27FC236}">
              <a16:creationId xmlns:a16="http://schemas.microsoft.com/office/drawing/2014/main" id="{00000000-0008-0000-0B00-000098000000}"/>
            </a:ext>
          </a:extLst>
        </xdr:cNvPr>
        <xdr:cNvSpPr>
          <a:spLocks noChangeAspect="1" noChangeArrowheads="1"/>
        </xdr:cNvSpPr>
      </xdr:nvSpPr>
      <xdr:spPr bwMode="auto">
        <a:xfrm>
          <a:off x="0" y="251555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53612</xdr:rowOff>
    </xdr:to>
    <xdr:sp macro="" textlink="">
      <xdr:nvSpPr>
        <xdr:cNvPr id="153" name="AutoShape 172" descr="+">
          <a:extLst>
            <a:ext uri="{FF2B5EF4-FFF2-40B4-BE49-F238E27FC236}">
              <a16:creationId xmlns:a16="http://schemas.microsoft.com/office/drawing/2014/main" id="{00000000-0008-0000-0B00-000099000000}"/>
            </a:ext>
          </a:extLst>
        </xdr:cNvPr>
        <xdr:cNvSpPr>
          <a:spLocks noChangeAspect="1" noChangeArrowheads="1"/>
        </xdr:cNvSpPr>
      </xdr:nvSpPr>
      <xdr:spPr bwMode="auto">
        <a:xfrm>
          <a:off x="0" y="2515552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154" name="AutoShape 173" descr="+">
          <a:extLst>
            <a:ext uri="{FF2B5EF4-FFF2-40B4-BE49-F238E27FC236}">
              <a16:creationId xmlns:a16="http://schemas.microsoft.com/office/drawing/2014/main" id="{00000000-0008-0000-0B00-00009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20730</xdr:rowOff>
    </xdr:to>
    <xdr:sp macro="" textlink="">
      <xdr:nvSpPr>
        <xdr:cNvPr id="155" name="AutoShape 174" descr="+">
          <a:extLst>
            <a:ext uri="{FF2B5EF4-FFF2-40B4-BE49-F238E27FC236}">
              <a16:creationId xmlns:a16="http://schemas.microsoft.com/office/drawing/2014/main" id="{00000000-0008-0000-0B00-00009B000000}"/>
            </a:ext>
          </a:extLst>
        </xdr:cNvPr>
        <xdr:cNvSpPr>
          <a:spLocks noChangeAspect="1" noChangeArrowheads="1"/>
        </xdr:cNvSpPr>
      </xdr:nvSpPr>
      <xdr:spPr bwMode="auto">
        <a:xfrm>
          <a:off x="0" y="25155525"/>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156" name="AutoShape 175" descr="+">
          <a:extLst>
            <a:ext uri="{FF2B5EF4-FFF2-40B4-BE49-F238E27FC236}">
              <a16:creationId xmlns:a16="http://schemas.microsoft.com/office/drawing/2014/main" id="{00000000-0008-0000-0B00-00009C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58108</xdr:rowOff>
    </xdr:to>
    <xdr:sp macro="" textlink="">
      <xdr:nvSpPr>
        <xdr:cNvPr id="157" name="AutoShape 176" descr="+">
          <a:extLst>
            <a:ext uri="{FF2B5EF4-FFF2-40B4-BE49-F238E27FC236}">
              <a16:creationId xmlns:a16="http://schemas.microsoft.com/office/drawing/2014/main" id="{00000000-0008-0000-0B00-00009D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158" name="AutoShape 177" descr="+">
          <a:extLst>
            <a:ext uri="{FF2B5EF4-FFF2-40B4-BE49-F238E27FC236}">
              <a16:creationId xmlns:a16="http://schemas.microsoft.com/office/drawing/2014/main" id="{00000000-0008-0000-0B00-00009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159" name="AutoShape 178" descr="+">
          <a:extLst>
            <a:ext uri="{FF2B5EF4-FFF2-40B4-BE49-F238E27FC236}">
              <a16:creationId xmlns:a16="http://schemas.microsoft.com/office/drawing/2014/main" id="{00000000-0008-0000-0B00-00009F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160" name="AutoShape 179" descr="+">
          <a:extLst>
            <a:ext uri="{FF2B5EF4-FFF2-40B4-BE49-F238E27FC236}">
              <a16:creationId xmlns:a16="http://schemas.microsoft.com/office/drawing/2014/main" id="{00000000-0008-0000-0B00-0000A0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21916</xdr:rowOff>
    </xdr:to>
    <xdr:sp macro="" textlink="">
      <xdr:nvSpPr>
        <xdr:cNvPr id="161" name="AutoShape 180" descr="+">
          <a:extLst>
            <a:ext uri="{FF2B5EF4-FFF2-40B4-BE49-F238E27FC236}">
              <a16:creationId xmlns:a16="http://schemas.microsoft.com/office/drawing/2014/main" id="{00000000-0008-0000-0B00-0000A1000000}"/>
            </a:ext>
          </a:extLst>
        </xdr:cNvPr>
        <xdr:cNvSpPr>
          <a:spLocks noChangeAspect="1" noChangeArrowheads="1"/>
        </xdr:cNvSpPr>
      </xdr:nvSpPr>
      <xdr:spPr bwMode="auto">
        <a:xfrm>
          <a:off x="0" y="25155525"/>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58107</xdr:rowOff>
    </xdr:to>
    <xdr:sp macro="" textlink="">
      <xdr:nvSpPr>
        <xdr:cNvPr id="162" name="AutoShape 181" descr="+">
          <a:extLst>
            <a:ext uri="{FF2B5EF4-FFF2-40B4-BE49-F238E27FC236}">
              <a16:creationId xmlns:a16="http://schemas.microsoft.com/office/drawing/2014/main" id="{00000000-0008-0000-0B00-0000A2000000}"/>
            </a:ext>
          </a:extLst>
        </xdr:cNvPr>
        <xdr:cNvSpPr>
          <a:spLocks noChangeAspect="1" noChangeArrowheads="1"/>
        </xdr:cNvSpPr>
      </xdr:nvSpPr>
      <xdr:spPr bwMode="auto">
        <a:xfrm>
          <a:off x="0" y="25155525"/>
          <a:ext cx="304800" cy="210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136560</xdr:rowOff>
    </xdr:to>
    <xdr:sp macro="" textlink="">
      <xdr:nvSpPr>
        <xdr:cNvPr id="163" name="AutoShape 182" descr="+">
          <a:extLst>
            <a:ext uri="{FF2B5EF4-FFF2-40B4-BE49-F238E27FC236}">
              <a16:creationId xmlns:a16="http://schemas.microsoft.com/office/drawing/2014/main" id="{00000000-0008-0000-0B00-0000A3000000}"/>
            </a:ext>
          </a:extLst>
        </xdr:cNvPr>
        <xdr:cNvSpPr>
          <a:spLocks noChangeAspect="1" noChangeArrowheads="1"/>
        </xdr:cNvSpPr>
      </xdr:nvSpPr>
      <xdr:spPr bwMode="auto">
        <a:xfrm>
          <a:off x="0" y="25155525"/>
          <a:ext cx="304800" cy="3099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164" name="AutoShape 183" descr="+">
          <a:extLst>
            <a:ext uri="{FF2B5EF4-FFF2-40B4-BE49-F238E27FC236}">
              <a16:creationId xmlns:a16="http://schemas.microsoft.com/office/drawing/2014/main" id="{00000000-0008-0000-0B00-0000A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165" name="AutoShape 184" descr="+">
          <a:extLst>
            <a:ext uri="{FF2B5EF4-FFF2-40B4-BE49-F238E27FC236}">
              <a16:creationId xmlns:a16="http://schemas.microsoft.com/office/drawing/2014/main" id="{00000000-0008-0000-0B00-0000A5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53613</xdr:rowOff>
    </xdr:to>
    <xdr:sp macro="" textlink="">
      <xdr:nvSpPr>
        <xdr:cNvPr id="166" name="AutoShape 185" descr="+">
          <a:extLst>
            <a:ext uri="{FF2B5EF4-FFF2-40B4-BE49-F238E27FC236}">
              <a16:creationId xmlns:a16="http://schemas.microsoft.com/office/drawing/2014/main" id="{00000000-0008-0000-0B00-0000A6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18376</xdr:rowOff>
    </xdr:to>
    <xdr:sp macro="" textlink="">
      <xdr:nvSpPr>
        <xdr:cNvPr id="167" name="AutoShape 186" descr="+">
          <a:extLst>
            <a:ext uri="{FF2B5EF4-FFF2-40B4-BE49-F238E27FC236}">
              <a16:creationId xmlns:a16="http://schemas.microsoft.com/office/drawing/2014/main" id="{00000000-0008-0000-0B00-0000A7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168" name="AutoShape 187" descr="+">
          <a:extLst>
            <a:ext uri="{FF2B5EF4-FFF2-40B4-BE49-F238E27FC236}">
              <a16:creationId xmlns:a16="http://schemas.microsoft.com/office/drawing/2014/main" id="{00000000-0008-0000-0B00-0000A8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58112</xdr:rowOff>
    </xdr:to>
    <xdr:sp macro="" textlink="">
      <xdr:nvSpPr>
        <xdr:cNvPr id="169" name="AutoShape 188" descr="+">
          <a:extLst>
            <a:ext uri="{FF2B5EF4-FFF2-40B4-BE49-F238E27FC236}">
              <a16:creationId xmlns:a16="http://schemas.microsoft.com/office/drawing/2014/main" id="{00000000-0008-0000-0B00-0000A9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170" name="AutoShape 189" descr="+">
          <a:extLst>
            <a:ext uri="{FF2B5EF4-FFF2-40B4-BE49-F238E27FC236}">
              <a16:creationId xmlns:a16="http://schemas.microsoft.com/office/drawing/2014/main" id="{00000000-0008-0000-0B00-0000AA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20008</xdr:rowOff>
    </xdr:to>
    <xdr:sp macro="" textlink="">
      <xdr:nvSpPr>
        <xdr:cNvPr id="171" name="AutoShape 190" descr="+">
          <a:extLst>
            <a:ext uri="{FF2B5EF4-FFF2-40B4-BE49-F238E27FC236}">
              <a16:creationId xmlns:a16="http://schemas.microsoft.com/office/drawing/2014/main" id="{00000000-0008-0000-0B00-0000AB000000}"/>
            </a:ext>
          </a:extLst>
        </xdr:cNvPr>
        <xdr:cNvSpPr>
          <a:spLocks noChangeAspect="1" noChangeArrowheads="1"/>
        </xdr:cNvSpPr>
      </xdr:nvSpPr>
      <xdr:spPr bwMode="auto">
        <a:xfrm>
          <a:off x="0" y="25155525"/>
          <a:ext cx="304800" cy="1724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172" name="AutoShape 191" descr="+">
          <a:extLst>
            <a:ext uri="{FF2B5EF4-FFF2-40B4-BE49-F238E27FC236}">
              <a16:creationId xmlns:a16="http://schemas.microsoft.com/office/drawing/2014/main" id="{00000000-0008-0000-0B00-0000A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18376</xdr:rowOff>
    </xdr:to>
    <xdr:sp macro="" textlink="">
      <xdr:nvSpPr>
        <xdr:cNvPr id="173" name="AutoShape 192" descr="+">
          <a:extLst>
            <a:ext uri="{FF2B5EF4-FFF2-40B4-BE49-F238E27FC236}">
              <a16:creationId xmlns:a16="http://schemas.microsoft.com/office/drawing/2014/main" id="{00000000-0008-0000-0B00-0000AD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174" name="AutoShape 193" descr="+">
          <a:extLst>
            <a:ext uri="{FF2B5EF4-FFF2-40B4-BE49-F238E27FC236}">
              <a16:creationId xmlns:a16="http://schemas.microsoft.com/office/drawing/2014/main" id="{00000000-0008-0000-0B00-0000A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175" name="AutoShape 194" descr="+">
          <a:extLst>
            <a:ext uri="{FF2B5EF4-FFF2-40B4-BE49-F238E27FC236}">
              <a16:creationId xmlns:a16="http://schemas.microsoft.com/office/drawing/2014/main" id="{00000000-0008-0000-0B00-0000AF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16200</xdr:rowOff>
    </xdr:to>
    <xdr:sp macro="" textlink="">
      <xdr:nvSpPr>
        <xdr:cNvPr id="176" name="AutoShape 195" descr="+">
          <a:extLst>
            <a:ext uri="{FF2B5EF4-FFF2-40B4-BE49-F238E27FC236}">
              <a16:creationId xmlns:a16="http://schemas.microsoft.com/office/drawing/2014/main" id="{00000000-0008-0000-0B00-0000B0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38778</xdr:rowOff>
    </xdr:to>
    <xdr:sp macro="" textlink="">
      <xdr:nvSpPr>
        <xdr:cNvPr id="177" name="AutoShape 196" descr="+">
          <a:extLst>
            <a:ext uri="{FF2B5EF4-FFF2-40B4-BE49-F238E27FC236}">
              <a16:creationId xmlns:a16="http://schemas.microsoft.com/office/drawing/2014/main" id="{00000000-0008-0000-0B00-0000B1000000}"/>
            </a:ext>
          </a:extLst>
        </xdr:cNvPr>
        <xdr:cNvSpPr>
          <a:spLocks noChangeAspect="1" noChangeArrowheads="1"/>
        </xdr:cNvSpPr>
      </xdr:nvSpPr>
      <xdr:spPr bwMode="auto">
        <a:xfrm>
          <a:off x="0" y="25155525"/>
          <a:ext cx="304800" cy="2007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133349</xdr:rowOff>
    </xdr:to>
    <xdr:sp macro="" textlink="">
      <xdr:nvSpPr>
        <xdr:cNvPr id="178" name="AutoShape 197" descr="+">
          <a:extLst>
            <a:ext uri="{FF2B5EF4-FFF2-40B4-BE49-F238E27FC236}">
              <a16:creationId xmlns:a16="http://schemas.microsoft.com/office/drawing/2014/main" id="{00000000-0008-0000-0B00-0000B2000000}"/>
            </a:ext>
          </a:extLst>
        </xdr:cNvPr>
        <xdr:cNvSpPr>
          <a:spLocks noChangeAspect="1" noChangeArrowheads="1"/>
        </xdr:cNvSpPr>
      </xdr:nvSpPr>
      <xdr:spPr bwMode="auto">
        <a:xfrm>
          <a:off x="0" y="251555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179" name="AutoShape 198" descr="+">
          <a:extLst>
            <a:ext uri="{FF2B5EF4-FFF2-40B4-BE49-F238E27FC236}">
              <a16:creationId xmlns:a16="http://schemas.microsoft.com/office/drawing/2014/main" id="{00000000-0008-0000-0B00-0000B3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19331</xdr:rowOff>
    </xdr:to>
    <xdr:sp macro="" textlink="">
      <xdr:nvSpPr>
        <xdr:cNvPr id="180" name="AutoShape 199" descr="+">
          <a:extLst>
            <a:ext uri="{FF2B5EF4-FFF2-40B4-BE49-F238E27FC236}">
              <a16:creationId xmlns:a16="http://schemas.microsoft.com/office/drawing/2014/main" id="{00000000-0008-0000-0B00-0000B4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17734</xdr:rowOff>
    </xdr:to>
    <xdr:sp macro="" textlink="">
      <xdr:nvSpPr>
        <xdr:cNvPr id="181" name="AutoShape 200" descr="+">
          <a:extLst>
            <a:ext uri="{FF2B5EF4-FFF2-40B4-BE49-F238E27FC236}">
              <a16:creationId xmlns:a16="http://schemas.microsoft.com/office/drawing/2014/main" id="{00000000-0008-0000-0B00-0000B5000000}"/>
            </a:ext>
          </a:extLst>
        </xdr:cNvPr>
        <xdr:cNvSpPr>
          <a:spLocks noChangeAspect="1" noChangeArrowheads="1"/>
        </xdr:cNvSpPr>
      </xdr:nvSpPr>
      <xdr:spPr bwMode="auto">
        <a:xfrm>
          <a:off x="0" y="25155525"/>
          <a:ext cx="304800" cy="183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182" name="AutoShape 201" descr="+">
          <a:extLst>
            <a:ext uri="{FF2B5EF4-FFF2-40B4-BE49-F238E27FC236}">
              <a16:creationId xmlns:a16="http://schemas.microsoft.com/office/drawing/2014/main" id="{00000000-0008-0000-0B00-0000B6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183" name="AutoShape 202" descr="+">
          <a:extLst>
            <a:ext uri="{FF2B5EF4-FFF2-40B4-BE49-F238E27FC236}">
              <a16:creationId xmlns:a16="http://schemas.microsoft.com/office/drawing/2014/main" id="{00000000-0008-0000-0B00-0000B7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184" name="AutoShape 203" descr="+">
          <a:extLst>
            <a:ext uri="{FF2B5EF4-FFF2-40B4-BE49-F238E27FC236}">
              <a16:creationId xmlns:a16="http://schemas.microsoft.com/office/drawing/2014/main" id="{00000000-0008-0000-0B00-0000B8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185" name="AutoShape 204" descr="+">
          <a:extLst>
            <a:ext uri="{FF2B5EF4-FFF2-40B4-BE49-F238E27FC236}">
              <a16:creationId xmlns:a16="http://schemas.microsoft.com/office/drawing/2014/main" id="{00000000-0008-0000-0B00-0000B9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186" name="AutoShape 205" descr="+">
          <a:extLst>
            <a:ext uri="{FF2B5EF4-FFF2-40B4-BE49-F238E27FC236}">
              <a16:creationId xmlns:a16="http://schemas.microsoft.com/office/drawing/2014/main" id="{00000000-0008-0000-0B00-0000BA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187" name="AutoShape 206" descr="+">
          <a:extLst>
            <a:ext uri="{FF2B5EF4-FFF2-40B4-BE49-F238E27FC236}">
              <a16:creationId xmlns:a16="http://schemas.microsoft.com/office/drawing/2014/main" id="{00000000-0008-0000-0B00-0000B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16201</xdr:rowOff>
    </xdr:to>
    <xdr:sp macro="" textlink="">
      <xdr:nvSpPr>
        <xdr:cNvPr id="188" name="AutoShape 207" descr="+">
          <a:extLst>
            <a:ext uri="{FF2B5EF4-FFF2-40B4-BE49-F238E27FC236}">
              <a16:creationId xmlns:a16="http://schemas.microsoft.com/office/drawing/2014/main" id="{00000000-0008-0000-0B00-0000BC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189" name="AutoShape 208" descr="+">
          <a:extLst>
            <a:ext uri="{FF2B5EF4-FFF2-40B4-BE49-F238E27FC236}">
              <a16:creationId xmlns:a16="http://schemas.microsoft.com/office/drawing/2014/main" id="{00000000-0008-0000-0B00-0000BD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58108</xdr:rowOff>
    </xdr:to>
    <xdr:sp macro="" textlink="">
      <xdr:nvSpPr>
        <xdr:cNvPr id="190" name="AutoShape 209" descr="+">
          <a:extLst>
            <a:ext uri="{FF2B5EF4-FFF2-40B4-BE49-F238E27FC236}">
              <a16:creationId xmlns:a16="http://schemas.microsoft.com/office/drawing/2014/main" id="{00000000-0008-0000-0B00-0000BE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21915</xdr:rowOff>
    </xdr:to>
    <xdr:sp macro="" textlink="">
      <xdr:nvSpPr>
        <xdr:cNvPr id="191" name="AutoShape 210" descr="+">
          <a:extLst>
            <a:ext uri="{FF2B5EF4-FFF2-40B4-BE49-F238E27FC236}">
              <a16:creationId xmlns:a16="http://schemas.microsoft.com/office/drawing/2014/main" id="{00000000-0008-0000-0B00-0000BF000000}"/>
            </a:ext>
          </a:extLst>
        </xdr:cNvPr>
        <xdr:cNvSpPr>
          <a:spLocks noChangeAspect="1" noChangeArrowheads="1"/>
        </xdr:cNvSpPr>
      </xdr:nvSpPr>
      <xdr:spPr bwMode="auto">
        <a:xfrm>
          <a:off x="0" y="2515552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133349</xdr:rowOff>
    </xdr:to>
    <xdr:sp macro="" textlink="">
      <xdr:nvSpPr>
        <xdr:cNvPr id="192" name="AutoShape 211" descr="+">
          <a:extLst>
            <a:ext uri="{FF2B5EF4-FFF2-40B4-BE49-F238E27FC236}">
              <a16:creationId xmlns:a16="http://schemas.microsoft.com/office/drawing/2014/main" id="{00000000-0008-0000-0B00-0000C0000000}"/>
            </a:ext>
          </a:extLst>
        </xdr:cNvPr>
        <xdr:cNvSpPr>
          <a:spLocks noChangeAspect="1" noChangeArrowheads="1"/>
        </xdr:cNvSpPr>
      </xdr:nvSpPr>
      <xdr:spPr bwMode="auto">
        <a:xfrm>
          <a:off x="0" y="251555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114904</xdr:rowOff>
    </xdr:to>
    <xdr:sp macro="" textlink="">
      <xdr:nvSpPr>
        <xdr:cNvPr id="193" name="AutoShape 212" descr="+">
          <a:extLst>
            <a:ext uri="{FF2B5EF4-FFF2-40B4-BE49-F238E27FC236}">
              <a16:creationId xmlns:a16="http://schemas.microsoft.com/office/drawing/2014/main" id="{00000000-0008-0000-0B00-0000C1000000}"/>
            </a:ext>
          </a:extLst>
        </xdr:cNvPr>
        <xdr:cNvSpPr>
          <a:spLocks noChangeAspect="1" noChangeArrowheads="1"/>
        </xdr:cNvSpPr>
      </xdr:nvSpPr>
      <xdr:spPr bwMode="auto">
        <a:xfrm>
          <a:off x="0" y="25155525"/>
          <a:ext cx="304800" cy="2768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20730</xdr:rowOff>
    </xdr:to>
    <xdr:sp macro="" textlink="">
      <xdr:nvSpPr>
        <xdr:cNvPr id="194" name="AutoShape 213" descr="+">
          <a:extLst>
            <a:ext uri="{FF2B5EF4-FFF2-40B4-BE49-F238E27FC236}">
              <a16:creationId xmlns:a16="http://schemas.microsoft.com/office/drawing/2014/main" id="{00000000-0008-0000-0B00-0000C2000000}"/>
            </a:ext>
          </a:extLst>
        </xdr:cNvPr>
        <xdr:cNvSpPr>
          <a:spLocks noChangeAspect="1" noChangeArrowheads="1"/>
        </xdr:cNvSpPr>
      </xdr:nvSpPr>
      <xdr:spPr bwMode="auto">
        <a:xfrm>
          <a:off x="0" y="25155525"/>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195" name="AutoShape 214" descr="+">
          <a:extLst>
            <a:ext uri="{FF2B5EF4-FFF2-40B4-BE49-F238E27FC236}">
              <a16:creationId xmlns:a16="http://schemas.microsoft.com/office/drawing/2014/main" id="{00000000-0008-0000-0B00-0000C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196" name="AutoShape 215" descr="+">
          <a:extLst>
            <a:ext uri="{FF2B5EF4-FFF2-40B4-BE49-F238E27FC236}">
              <a16:creationId xmlns:a16="http://schemas.microsoft.com/office/drawing/2014/main" id="{00000000-0008-0000-0B00-0000C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41164</xdr:rowOff>
    </xdr:to>
    <xdr:sp macro="" textlink="">
      <xdr:nvSpPr>
        <xdr:cNvPr id="197" name="AutoShape 216" descr="+">
          <a:extLst>
            <a:ext uri="{FF2B5EF4-FFF2-40B4-BE49-F238E27FC236}">
              <a16:creationId xmlns:a16="http://schemas.microsoft.com/office/drawing/2014/main" id="{00000000-0008-0000-0B00-0000C5000000}"/>
            </a:ext>
          </a:extLst>
        </xdr:cNvPr>
        <xdr:cNvSpPr>
          <a:spLocks noChangeAspect="1" noChangeArrowheads="1"/>
        </xdr:cNvSpPr>
      </xdr:nvSpPr>
      <xdr:spPr bwMode="auto">
        <a:xfrm>
          <a:off x="0" y="25155525"/>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198" name="AutoShape 217" descr="+">
          <a:extLst>
            <a:ext uri="{FF2B5EF4-FFF2-40B4-BE49-F238E27FC236}">
              <a16:creationId xmlns:a16="http://schemas.microsoft.com/office/drawing/2014/main" id="{00000000-0008-0000-0B00-0000C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199" name="AutoShape 218" descr="+">
          <a:extLst>
            <a:ext uri="{FF2B5EF4-FFF2-40B4-BE49-F238E27FC236}">
              <a16:creationId xmlns:a16="http://schemas.microsoft.com/office/drawing/2014/main" id="{00000000-0008-0000-0B00-0000C7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20961</xdr:rowOff>
    </xdr:to>
    <xdr:sp macro="" textlink="">
      <xdr:nvSpPr>
        <xdr:cNvPr id="200" name="AutoShape 219" descr="+">
          <a:extLst>
            <a:ext uri="{FF2B5EF4-FFF2-40B4-BE49-F238E27FC236}">
              <a16:creationId xmlns:a16="http://schemas.microsoft.com/office/drawing/2014/main" id="{00000000-0008-0000-0B00-0000C8000000}"/>
            </a:ext>
          </a:extLst>
        </xdr:cNvPr>
        <xdr:cNvSpPr>
          <a:spLocks noChangeAspect="1" noChangeArrowheads="1"/>
        </xdr:cNvSpPr>
      </xdr:nvSpPr>
      <xdr:spPr bwMode="auto">
        <a:xfrm>
          <a:off x="0" y="25155525"/>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201" name="AutoShape 220" descr="+">
          <a:extLst>
            <a:ext uri="{FF2B5EF4-FFF2-40B4-BE49-F238E27FC236}">
              <a16:creationId xmlns:a16="http://schemas.microsoft.com/office/drawing/2014/main" id="{00000000-0008-0000-0B00-0000C9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202" name="AutoShape 221" descr="+">
          <a:extLst>
            <a:ext uri="{FF2B5EF4-FFF2-40B4-BE49-F238E27FC236}">
              <a16:creationId xmlns:a16="http://schemas.microsoft.com/office/drawing/2014/main" id="{00000000-0008-0000-0B00-0000CA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203" name="AutoShape 222" descr="+">
          <a:extLst>
            <a:ext uri="{FF2B5EF4-FFF2-40B4-BE49-F238E27FC236}">
              <a16:creationId xmlns:a16="http://schemas.microsoft.com/office/drawing/2014/main" id="{00000000-0008-0000-0B00-0000CB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204" name="AutoShape 223" descr="+">
          <a:extLst>
            <a:ext uri="{FF2B5EF4-FFF2-40B4-BE49-F238E27FC236}">
              <a16:creationId xmlns:a16="http://schemas.microsoft.com/office/drawing/2014/main" id="{00000000-0008-0000-0B00-0000CC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205" name="AutoShape 224" descr="+">
          <a:extLst>
            <a:ext uri="{FF2B5EF4-FFF2-40B4-BE49-F238E27FC236}">
              <a16:creationId xmlns:a16="http://schemas.microsoft.com/office/drawing/2014/main" id="{00000000-0008-0000-0B00-0000C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21914</xdr:rowOff>
    </xdr:to>
    <xdr:sp macro="" textlink="">
      <xdr:nvSpPr>
        <xdr:cNvPr id="206" name="AutoShape 225" descr="+">
          <a:extLst>
            <a:ext uri="{FF2B5EF4-FFF2-40B4-BE49-F238E27FC236}">
              <a16:creationId xmlns:a16="http://schemas.microsoft.com/office/drawing/2014/main" id="{00000000-0008-0000-0B00-0000CE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135256</xdr:rowOff>
    </xdr:to>
    <xdr:sp macro="" textlink="">
      <xdr:nvSpPr>
        <xdr:cNvPr id="207" name="AutoShape 226" descr="+">
          <a:extLst>
            <a:ext uri="{FF2B5EF4-FFF2-40B4-BE49-F238E27FC236}">
              <a16:creationId xmlns:a16="http://schemas.microsoft.com/office/drawing/2014/main" id="{00000000-0008-0000-0B00-0000CF000000}"/>
            </a:ext>
          </a:extLst>
        </xdr:cNvPr>
        <xdr:cNvSpPr>
          <a:spLocks noChangeAspect="1" noChangeArrowheads="1"/>
        </xdr:cNvSpPr>
      </xdr:nvSpPr>
      <xdr:spPr bwMode="auto">
        <a:xfrm>
          <a:off x="0" y="2515552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208" name="AutoShape 227" descr="+">
          <a:extLst>
            <a:ext uri="{FF2B5EF4-FFF2-40B4-BE49-F238E27FC236}">
              <a16:creationId xmlns:a16="http://schemas.microsoft.com/office/drawing/2014/main" id="{00000000-0008-0000-0B00-0000D0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209" name="AutoShape 228" descr="+">
          <a:extLst>
            <a:ext uri="{FF2B5EF4-FFF2-40B4-BE49-F238E27FC236}">
              <a16:creationId xmlns:a16="http://schemas.microsoft.com/office/drawing/2014/main" id="{00000000-0008-0000-0B00-0000D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136933</xdr:rowOff>
    </xdr:to>
    <xdr:sp macro="" textlink="">
      <xdr:nvSpPr>
        <xdr:cNvPr id="210" name="AutoShape 229" descr="+">
          <a:extLst>
            <a:ext uri="{FF2B5EF4-FFF2-40B4-BE49-F238E27FC236}">
              <a16:creationId xmlns:a16="http://schemas.microsoft.com/office/drawing/2014/main" id="{00000000-0008-0000-0B00-0000D2000000}"/>
            </a:ext>
          </a:extLst>
        </xdr:cNvPr>
        <xdr:cNvSpPr>
          <a:spLocks noChangeAspect="1" noChangeArrowheads="1"/>
        </xdr:cNvSpPr>
      </xdr:nvSpPr>
      <xdr:spPr bwMode="auto">
        <a:xfrm>
          <a:off x="0" y="25155525"/>
          <a:ext cx="304800" cy="3064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135255</xdr:rowOff>
    </xdr:to>
    <xdr:sp macro="" textlink="">
      <xdr:nvSpPr>
        <xdr:cNvPr id="211" name="AutoShape 230" descr="+">
          <a:extLst>
            <a:ext uri="{FF2B5EF4-FFF2-40B4-BE49-F238E27FC236}">
              <a16:creationId xmlns:a16="http://schemas.microsoft.com/office/drawing/2014/main" id="{00000000-0008-0000-0B00-0000D3000000}"/>
            </a:ext>
          </a:extLst>
        </xdr:cNvPr>
        <xdr:cNvSpPr>
          <a:spLocks noChangeAspect="1" noChangeArrowheads="1"/>
        </xdr:cNvSpPr>
      </xdr:nvSpPr>
      <xdr:spPr bwMode="auto">
        <a:xfrm>
          <a:off x="0" y="2515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212" name="AutoShape 231" descr="+">
          <a:extLst>
            <a:ext uri="{FF2B5EF4-FFF2-40B4-BE49-F238E27FC236}">
              <a16:creationId xmlns:a16="http://schemas.microsoft.com/office/drawing/2014/main" id="{00000000-0008-0000-0B00-0000D4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16202</xdr:rowOff>
    </xdr:to>
    <xdr:sp macro="" textlink="">
      <xdr:nvSpPr>
        <xdr:cNvPr id="213" name="AutoShape 232" descr="+">
          <a:extLst>
            <a:ext uri="{FF2B5EF4-FFF2-40B4-BE49-F238E27FC236}">
              <a16:creationId xmlns:a16="http://schemas.microsoft.com/office/drawing/2014/main" id="{00000000-0008-0000-0B00-0000D5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214" name="AutoShape 233" descr="+">
          <a:extLst>
            <a:ext uri="{FF2B5EF4-FFF2-40B4-BE49-F238E27FC236}">
              <a16:creationId xmlns:a16="http://schemas.microsoft.com/office/drawing/2014/main" id="{00000000-0008-0000-0B00-0000D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215" name="AutoShape 234" descr="+">
          <a:extLst>
            <a:ext uri="{FF2B5EF4-FFF2-40B4-BE49-F238E27FC236}">
              <a16:creationId xmlns:a16="http://schemas.microsoft.com/office/drawing/2014/main" id="{00000000-0008-0000-0B00-0000D7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58108</xdr:rowOff>
    </xdr:to>
    <xdr:sp macro="" textlink="">
      <xdr:nvSpPr>
        <xdr:cNvPr id="216" name="AutoShape 235" descr="+">
          <a:extLst>
            <a:ext uri="{FF2B5EF4-FFF2-40B4-BE49-F238E27FC236}">
              <a16:creationId xmlns:a16="http://schemas.microsoft.com/office/drawing/2014/main" id="{00000000-0008-0000-0B00-0000D8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217" name="AutoShape 236" descr="+">
          <a:extLst>
            <a:ext uri="{FF2B5EF4-FFF2-40B4-BE49-F238E27FC236}">
              <a16:creationId xmlns:a16="http://schemas.microsoft.com/office/drawing/2014/main" id="{00000000-0008-0000-0B00-0000D9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218" name="AutoShape 237" descr="+">
          <a:extLst>
            <a:ext uri="{FF2B5EF4-FFF2-40B4-BE49-F238E27FC236}">
              <a16:creationId xmlns:a16="http://schemas.microsoft.com/office/drawing/2014/main" id="{00000000-0008-0000-0B00-0000D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58113</xdr:rowOff>
    </xdr:to>
    <xdr:sp macro="" textlink="">
      <xdr:nvSpPr>
        <xdr:cNvPr id="219" name="AutoShape 238" descr="+">
          <a:extLst>
            <a:ext uri="{FF2B5EF4-FFF2-40B4-BE49-F238E27FC236}">
              <a16:creationId xmlns:a16="http://schemas.microsoft.com/office/drawing/2014/main" id="{00000000-0008-0000-0B00-0000DB000000}"/>
            </a:ext>
          </a:extLst>
        </xdr:cNvPr>
        <xdr:cNvSpPr>
          <a:spLocks noChangeAspect="1" noChangeArrowheads="1"/>
        </xdr:cNvSpPr>
      </xdr:nvSpPr>
      <xdr:spPr bwMode="auto">
        <a:xfrm>
          <a:off x="0" y="2515552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58108</xdr:rowOff>
    </xdr:to>
    <xdr:sp macro="" textlink="">
      <xdr:nvSpPr>
        <xdr:cNvPr id="220" name="AutoShape 239" descr="+">
          <a:extLst>
            <a:ext uri="{FF2B5EF4-FFF2-40B4-BE49-F238E27FC236}">
              <a16:creationId xmlns:a16="http://schemas.microsoft.com/office/drawing/2014/main" id="{00000000-0008-0000-0B00-0000DC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221" name="AutoShape 240" descr="+">
          <a:extLst>
            <a:ext uri="{FF2B5EF4-FFF2-40B4-BE49-F238E27FC236}">
              <a16:creationId xmlns:a16="http://schemas.microsoft.com/office/drawing/2014/main" id="{00000000-0008-0000-0B00-0000DD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222" name="AutoShape 241" descr="+">
          <a:extLst>
            <a:ext uri="{FF2B5EF4-FFF2-40B4-BE49-F238E27FC236}">
              <a16:creationId xmlns:a16="http://schemas.microsoft.com/office/drawing/2014/main" id="{00000000-0008-0000-0B00-0000DE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20962</xdr:rowOff>
    </xdr:to>
    <xdr:sp macro="" textlink="">
      <xdr:nvSpPr>
        <xdr:cNvPr id="223" name="AutoShape 242" descr="+">
          <a:extLst>
            <a:ext uri="{FF2B5EF4-FFF2-40B4-BE49-F238E27FC236}">
              <a16:creationId xmlns:a16="http://schemas.microsoft.com/office/drawing/2014/main" id="{00000000-0008-0000-0B00-0000DF000000}"/>
            </a:ext>
          </a:extLst>
        </xdr:cNvPr>
        <xdr:cNvSpPr>
          <a:spLocks noChangeAspect="1" noChangeArrowheads="1"/>
        </xdr:cNvSpPr>
      </xdr:nvSpPr>
      <xdr:spPr bwMode="auto">
        <a:xfrm>
          <a:off x="0" y="25155525"/>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224" name="AutoShape 243" descr="+">
          <a:extLst>
            <a:ext uri="{FF2B5EF4-FFF2-40B4-BE49-F238E27FC236}">
              <a16:creationId xmlns:a16="http://schemas.microsoft.com/office/drawing/2014/main" id="{00000000-0008-0000-0B00-0000E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225" name="AutoShape 244" descr="+">
          <a:extLst>
            <a:ext uri="{FF2B5EF4-FFF2-40B4-BE49-F238E27FC236}">
              <a16:creationId xmlns:a16="http://schemas.microsoft.com/office/drawing/2014/main" id="{00000000-0008-0000-0B00-0000E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226" name="AutoShape 245" descr="+">
          <a:extLst>
            <a:ext uri="{FF2B5EF4-FFF2-40B4-BE49-F238E27FC236}">
              <a16:creationId xmlns:a16="http://schemas.microsoft.com/office/drawing/2014/main" id="{00000000-0008-0000-0B00-0000E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18376</xdr:rowOff>
    </xdr:to>
    <xdr:sp macro="" textlink="">
      <xdr:nvSpPr>
        <xdr:cNvPr id="227" name="AutoShape 246" descr="+">
          <a:extLst>
            <a:ext uri="{FF2B5EF4-FFF2-40B4-BE49-F238E27FC236}">
              <a16:creationId xmlns:a16="http://schemas.microsoft.com/office/drawing/2014/main" id="{00000000-0008-0000-0B00-0000E3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228" name="AutoShape 247" descr="+">
          <a:extLst>
            <a:ext uri="{FF2B5EF4-FFF2-40B4-BE49-F238E27FC236}">
              <a16:creationId xmlns:a16="http://schemas.microsoft.com/office/drawing/2014/main" id="{00000000-0008-0000-0B00-0000E4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16202</xdr:rowOff>
    </xdr:to>
    <xdr:sp macro="" textlink="">
      <xdr:nvSpPr>
        <xdr:cNvPr id="229" name="AutoShape 248" descr="+">
          <a:extLst>
            <a:ext uri="{FF2B5EF4-FFF2-40B4-BE49-F238E27FC236}">
              <a16:creationId xmlns:a16="http://schemas.microsoft.com/office/drawing/2014/main" id="{00000000-0008-0000-0B00-0000E5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230" name="AutoShape 249" descr="+">
          <a:extLst>
            <a:ext uri="{FF2B5EF4-FFF2-40B4-BE49-F238E27FC236}">
              <a16:creationId xmlns:a16="http://schemas.microsoft.com/office/drawing/2014/main" id="{00000000-0008-0000-0B00-0000E6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231" name="AutoShape 250" descr="+">
          <a:extLst>
            <a:ext uri="{FF2B5EF4-FFF2-40B4-BE49-F238E27FC236}">
              <a16:creationId xmlns:a16="http://schemas.microsoft.com/office/drawing/2014/main" id="{00000000-0008-0000-0B00-0000E7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232" name="AutoShape 251" descr="+">
          <a:extLst>
            <a:ext uri="{FF2B5EF4-FFF2-40B4-BE49-F238E27FC236}">
              <a16:creationId xmlns:a16="http://schemas.microsoft.com/office/drawing/2014/main" id="{00000000-0008-0000-0B00-0000E8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58108</xdr:rowOff>
    </xdr:to>
    <xdr:sp macro="" textlink="">
      <xdr:nvSpPr>
        <xdr:cNvPr id="233" name="AutoShape 252" descr="+">
          <a:extLst>
            <a:ext uri="{FF2B5EF4-FFF2-40B4-BE49-F238E27FC236}">
              <a16:creationId xmlns:a16="http://schemas.microsoft.com/office/drawing/2014/main" id="{00000000-0008-0000-0B00-0000E9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16201</xdr:rowOff>
    </xdr:to>
    <xdr:sp macro="" textlink="">
      <xdr:nvSpPr>
        <xdr:cNvPr id="234" name="AutoShape 253" descr="+">
          <a:extLst>
            <a:ext uri="{FF2B5EF4-FFF2-40B4-BE49-F238E27FC236}">
              <a16:creationId xmlns:a16="http://schemas.microsoft.com/office/drawing/2014/main" id="{00000000-0008-0000-0B00-0000EA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235" name="AutoShape 254" descr="+">
          <a:extLst>
            <a:ext uri="{FF2B5EF4-FFF2-40B4-BE49-F238E27FC236}">
              <a16:creationId xmlns:a16="http://schemas.microsoft.com/office/drawing/2014/main" id="{00000000-0008-0000-0B00-0000EB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236" name="AutoShape 255" descr="+">
          <a:extLst>
            <a:ext uri="{FF2B5EF4-FFF2-40B4-BE49-F238E27FC236}">
              <a16:creationId xmlns:a16="http://schemas.microsoft.com/office/drawing/2014/main" id="{00000000-0008-0000-0B00-0000E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237" name="AutoShape 256" descr="+">
          <a:extLst>
            <a:ext uri="{FF2B5EF4-FFF2-40B4-BE49-F238E27FC236}">
              <a16:creationId xmlns:a16="http://schemas.microsoft.com/office/drawing/2014/main" id="{00000000-0008-0000-0B00-0000E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238" name="AutoShape 257" descr="+">
          <a:extLst>
            <a:ext uri="{FF2B5EF4-FFF2-40B4-BE49-F238E27FC236}">
              <a16:creationId xmlns:a16="http://schemas.microsoft.com/office/drawing/2014/main" id="{00000000-0008-0000-0B00-0000E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98387</xdr:rowOff>
    </xdr:to>
    <xdr:sp macro="" textlink="">
      <xdr:nvSpPr>
        <xdr:cNvPr id="239" name="AutoShape 258" descr="+">
          <a:extLst>
            <a:ext uri="{FF2B5EF4-FFF2-40B4-BE49-F238E27FC236}">
              <a16:creationId xmlns:a16="http://schemas.microsoft.com/office/drawing/2014/main" id="{00000000-0008-0000-0B00-0000EF000000}"/>
            </a:ext>
          </a:extLst>
        </xdr:cNvPr>
        <xdr:cNvSpPr>
          <a:spLocks noChangeAspect="1" noChangeArrowheads="1"/>
        </xdr:cNvSpPr>
      </xdr:nvSpPr>
      <xdr:spPr bwMode="auto">
        <a:xfrm>
          <a:off x="0" y="25155525"/>
          <a:ext cx="304800" cy="27174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16201</xdr:rowOff>
    </xdr:to>
    <xdr:sp macro="" textlink="">
      <xdr:nvSpPr>
        <xdr:cNvPr id="240" name="AutoShape 259" descr="+">
          <a:extLst>
            <a:ext uri="{FF2B5EF4-FFF2-40B4-BE49-F238E27FC236}">
              <a16:creationId xmlns:a16="http://schemas.microsoft.com/office/drawing/2014/main" id="{00000000-0008-0000-0B00-0000F0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135255</xdr:rowOff>
    </xdr:to>
    <xdr:sp macro="" textlink="">
      <xdr:nvSpPr>
        <xdr:cNvPr id="241" name="AutoShape 260" descr="+">
          <a:extLst>
            <a:ext uri="{FF2B5EF4-FFF2-40B4-BE49-F238E27FC236}">
              <a16:creationId xmlns:a16="http://schemas.microsoft.com/office/drawing/2014/main" id="{00000000-0008-0000-0B00-0000F1000000}"/>
            </a:ext>
          </a:extLst>
        </xdr:cNvPr>
        <xdr:cNvSpPr>
          <a:spLocks noChangeAspect="1" noChangeArrowheads="1"/>
        </xdr:cNvSpPr>
      </xdr:nvSpPr>
      <xdr:spPr bwMode="auto">
        <a:xfrm>
          <a:off x="0" y="2515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242" name="AutoShape 261" descr="+">
          <a:extLst>
            <a:ext uri="{FF2B5EF4-FFF2-40B4-BE49-F238E27FC236}">
              <a16:creationId xmlns:a16="http://schemas.microsoft.com/office/drawing/2014/main" id="{00000000-0008-0000-0B00-0000F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243" name="AutoShape 262" descr="+">
          <a:extLst>
            <a:ext uri="{FF2B5EF4-FFF2-40B4-BE49-F238E27FC236}">
              <a16:creationId xmlns:a16="http://schemas.microsoft.com/office/drawing/2014/main" id="{00000000-0008-0000-0B00-0000F3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3403</xdr:rowOff>
    </xdr:to>
    <xdr:sp macro="" textlink="">
      <xdr:nvSpPr>
        <xdr:cNvPr id="244" name="AutoShape 263" descr="+">
          <a:extLst>
            <a:ext uri="{FF2B5EF4-FFF2-40B4-BE49-F238E27FC236}">
              <a16:creationId xmlns:a16="http://schemas.microsoft.com/office/drawing/2014/main" id="{00000000-0008-0000-0B00-0000F4000000}"/>
            </a:ext>
          </a:extLst>
        </xdr:cNvPr>
        <xdr:cNvSpPr>
          <a:spLocks noChangeAspect="1" noChangeArrowheads="1"/>
        </xdr:cNvSpPr>
      </xdr:nvSpPr>
      <xdr:spPr bwMode="auto">
        <a:xfrm>
          <a:off x="0" y="25155525"/>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3402</xdr:rowOff>
    </xdr:to>
    <xdr:sp macro="" textlink="">
      <xdr:nvSpPr>
        <xdr:cNvPr id="245" name="AutoShape 264" descr="+">
          <a:extLst>
            <a:ext uri="{FF2B5EF4-FFF2-40B4-BE49-F238E27FC236}">
              <a16:creationId xmlns:a16="http://schemas.microsoft.com/office/drawing/2014/main" id="{00000000-0008-0000-0B00-0000F5000000}"/>
            </a:ext>
          </a:extLst>
        </xdr:cNvPr>
        <xdr:cNvSpPr>
          <a:spLocks noChangeAspect="1" noChangeArrowheads="1"/>
        </xdr:cNvSpPr>
      </xdr:nvSpPr>
      <xdr:spPr bwMode="auto">
        <a:xfrm>
          <a:off x="0" y="25155525"/>
          <a:ext cx="304800" cy="1653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53615</xdr:rowOff>
    </xdr:to>
    <xdr:sp macro="" textlink="">
      <xdr:nvSpPr>
        <xdr:cNvPr id="246" name="AutoShape 265" descr="+">
          <a:extLst>
            <a:ext uri="{FF2B5EF4-FFF2-40B4-BE49-F238E27FC236}">
              <a16:creationId xmlns:a16="http://schemas.microsoft.com/office/drawing/2014/main" id="{00000000-0008-0000-0B00-0000F6000000}"/>
            </a:ext>
          </a:extLst>
        </xdr:cNvPr>
        <xdr:cNvSpPr>
          <a:spLocks noChangeAspect="1" noChangeArrowheads="1"/>
        </xdr:cNvSpPr>
      </xdr:nvSpPr>
      <xdr:spPr bwMode="auto">
        <a:xfrm>
          <a:off x="0" y="2515552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53610</xdr:rowOff>
    </xdr:to>
    <xdr:sp macro="" textlink="">
      <xdr:nvSpPr>
        <xdr:cNvPr id="247" name="AutoShape 266" descr="+">
          <a:extLst>
            <a:ext uri="{FF2B5EF4-FFF2-40B4-BE49-F238E27FC236}">
              <a16:creationId xmlns:a16="http://schemas.microsoft.com/office/drawing/2014/main" id="{00000000-0008-0000-0B00-0000F7000000}"/>
            </a:ext>
          </a:extLst>
        </xdr:cNvPr>
        <xdr:cNvSpPr>
          <a:spLocks noChangeAspect="1" noChangeArrowheads="1"/>
        </xdr:cNvSpPr>
      </xdr:nvSpPr>
      <xdr:spPr bwMode="auto">
        <a:xfrm>
          <a:off x="0" y="25155525"/>
          <a:ext cx="304800" cy="204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53612</xdr:rowOff>
    </xdr:to>
    <xdr:sp macro="" textlink="">
      <xdr:nvSpPr>
        <xdr:cNvPr id="248" name="AutoShape 267" descr="+">
          <a:extLst>
            <a:ext uri="{FF2B5EF4-FFF2-40B4-BE49-F238E27FC236}">
              <a16:creationId xmlns:a16="http://schemas.microsoft.com/office/drawing/2014/main" id="{00000000-0008-0000-0B00-0000F8000000}"/>
            </a:ext>
          </a:extLst>
        </xdr:cNvPr>
        <xdr:cNvSpPr>
          <a:spLocks noChangeAspect="1" noChangeArrowheads="1"/>
        </xdr:cNvSpPr>
      </xdr:nvSpPr>
      <xdr:spPr bwMode="auto">
        <a:xfrm>
          <a:off x="0" y="2515552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53615</xdr:rowOff>
    </xdr:to>
    <xdr:sp macro="" textlink="">
      <xdr:nvSpPr>
        <xdr:cNvPr id="249" name="AutoShape 268" descr="+">
          <a:extLst>
            <a:ext uri="{FF2B5EF4-FFF2-40B4-BE49-F238E27FC236}">
              <a16:creationId xmlns:a16="http://schemas.microsoft.com/office/drawing/2014/main" id="{00000000-0008-0000-0B00-0000F9000000}"/>
            </a:ext>
          </a:extLst>
        </xdr:cNvPr>
        <xdr:cNvSpPr>
          <a:spLocks noChangeAspect="1" noChangeArrowheads="1"/>
        </xdr:cNvSpPr>
      </xdr:nvSpPr>
      <xdr:spPr bwMode="auto">
        <a:xfrm>
          <a:off x="0" y="2515552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53613</xdr:rowOff>
    </xdr:to>
    <xdr:sp macro="" textlink="">
      <xdr:nvSpPr>
        <xdr:cNvPr id="250" name="AutoShape 269" descr="+">
          <a:extLst>
            <a:ext uri="{FF2B5EF4-FFF2-40B4-BE49-F238E27FC236}">
              <a16:creationId xmlns:a16="http://schemas.microsoft.com/office/drawing/2014/main" id="{00000000-0008-0000-0B00-0000FA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53613</xdr:rowOff>
    </xdr:to>
    <xdr:sp macro="" textlink="">
      <xdr:nvSpPr>
        <xdr:cNvPr id="251" name="AutoShape 270" descr="+">
          <a:extLst>
            <a:ext uri="{FF2B5EF4-FFF2-40B4-BE49-F238E27FC236}">
              <a16:creationId xmlns:a16="http://schemas.microsoft.com/office/drawing/2014/main" id="{00000000-0008-0000-0B00-0000FB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135527</xdr:rowOff>
    </xdr:to>
    <xdr:sp macro="" textlink="">
      <xdr:nvSpPr>
        <xdr:cNvPr id="252" name="AutoShape 271" descr="+">
          <a:extLst>
            <a:ext uri="{FF2B5EF4-FFF2-40B4-BE49-F238E27FC236}">
              <a16:creationId xmlns:a16="http://schemas.microsoft.com/office/drawing/2014/main" id="{00000000-0008-0000-0B00-0000FC000000}"/>
            </a:ext>
          </a:extLst>
        </xdr:cNvPr>
        <xdr:cNvSpPr>
          <a:spLocks noChangeAspect="1" noChangeArrowheads="1"/>
        </xdr:cNvSpPr>
      </xdr:nvSpPr>
      <xdr:spPr bwMode="auto">
        <a:xfrm>
          <a:off x="0" y="251555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53613</xdr:rowOff>
    </xdr:to>
    <xdr:sp macro="" textlink="">
      <xdr:nvSpPr>
        <xdr:cNvPr id="253" name="AutoShape 272" descr="+">
          <a:extLst>
            <a:ext uri="{FF2B5EF4-FFF2-40B4-BE49-F238E27FC236}">
              <a16:creationId xmlns:a16="http://schemas.microsoft.com/office/drawing/2014/main" id="{00000000-0008-0000-0B00-0000FD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254" name="AutoShape 273" descr="+">
          <a:extLst>
            <a:ext uri="{FF2B5EF4-FFF2-40B4-BE49-F238E27FC236}">
              <a16:creationId xmlns:a16="http://schemas.microsoft.com/office/drawing/2014/main" id="{00000000-0008-0000-0B00-0000FE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255" name="AutoShape 274" descr="+">
          <a:extLst>
            <a:ext uri="{FF2B5EF4-FFF2-40B4-BE49-F238E27FC236}">
              <a16:creationId xmlns:a16="http://schemas.microsoft.com/office/drawing/2014/main" id="{00000000-0008-0000-0B00-0000FF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19561</xdr:rowOff>
    </xdr:to>
    <xdr:sp macro="" textlink="">
      <xdr:nvSpPr>
        <xdr:cNvPr id="256" name="AutoShape 275" descr="+">
          <a:extLst>
            <a:ext uri="{FF2B5EF4-FFF2-40B4-BE49-F238E27FC236}">
              <a16:creationId xmlns:a16="http://schemas.microsoft.com/office/drawing/2014/main" id="{00000000-0008-0000-0B00-000000010000}"/>
            </a:ext>
          </a:extLst>
        </xdr:cNvPr>
        <xdr:cNvSpPr>
          <a:spLocks noChangeAspect="1" noChangeArrowheads="1"/>
        </xdr:cNvSpPr>
      </xdr:nvSpPr>
      <xdr:spPr bwMode="auto">
        <a:xfrm>
          <a:off x="0" y="25155525"/>
          <a:ext cx="304800" cy="1852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19330</xdr:rowOff>
    </xdr:to>
    <xdr:sp macro="" textlink="">
      <xdr:nvSpPr>
        <xdr:cNvPr id="257" name="AutoShape 276" descr="+">
          <a:extLst>
            <a:ext uri="{FF2B5EF4-FFF2-40B4-BE49-F238E27FC236}">
              <a16:creationId xmlns:a16="http://schemas.microsoft.com/office/drawing/2014/main" id="{00000000-0008-0000-0B00-00000101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58108</xdr:rowOff>
    </xdr:to>
    <xdr:sp macro="" textlink="">
      <xdr:nvSpPr>
        <xdr:cNvPr id="258" name="AutoShape 277" descr="+">
          <a:extLst>
            <a:ext uri="{FF2B5EF4-FFF2-40B4-BE49-F238E27FC236}">
              <a16:creationId xmlns:a16="http://schemas.microsoft.com/office/drawing/2014/main" id="{00000000-0008-0000-0B00-00000201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259" name="AutoShape 278" descr="+">
          <a:extLst>
            <a:ext uri="{FF2B5EF4-FFF2-40B4-BE49-F238E27FC236}">
              <a16:creationId xmlns:a16="http://schemas.microsoft.com/office/drawing/2014/main" id="{00000000-0008-0000-0B00-00000301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21915</xdr:rowOff>
    </xdr:to>
    <xdr:sp macro="" textlink="">
      <xdr:nvSpPr>
        <xdr:cNvPr id="260" name="AutoShape 279" descr="+">
          <a:extLst>
            <a:ext uri="{FF2B5EF4-FFF2-40B4-BE49-F238E27FC236}">
              <a16:creationId xmlns:a16="http://schemas.microsoft.com/office/drawing/2014/main" id="{00000000-0008-0000-0B00-000004010000}"/>
            </a:ext>
          </a:extLst>
        </xdr:cNvPr>
        <xdr:cNvSpPr>
          <a:spLocks noChangeAspect="1" noChangeArrowheads="1"/>
        </xdr:cNvSpPr>
      </xdr:nvSpPr>
      <xdr:spPr bwMode="auto">
        <a:xfrm>
          <a:off x="0" y="2515552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58112</xdr:rowOff>
    </xdr:to>
    <xdr:sp macro="" textlink="">
      <xdr:nvSpPr>
        <xdr:cNvPr id="261" name="AutoShape 280" descr="+">
          <a:extLst>
            <a:ext uri="{FF2B5EF4-FFF2-40B4-BE49-F238E27FC236}">
              <a16:creationId xmlns:a16="http://schemas.microsoft.com/office/drawing/2014/main" id="{00000000-0008-0000-0B00-00000501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58109</xdr:rowOff>
    </xdr:to>
    <xdr:sp macro="" textlink="">
      <xdr:nvSpPr>
        <xdr:cNvPr id="262" name="AutoShape 281" descr="+">
          <a:extLst>
            <a:ext uri="{FF2B5EF4-FFF2-40B4-BE49-F238E27FC236}">
              <a16:creationId xmlns:a16="http://schemas.microsoft.com/office/drawing/2014/main" id="{00000000-0008-0000-0B00-00000601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58107</xdr:rowOff>
    </xdr:to>
    <xdr:sp macro="" textlink="">
      <xdr:nvSpPr>
        <xdr:cNvPr id="263" name="AutoShape 282" descr="+">
          <a:extLst>
            <a:ext uri="{FF2B5EF4-FFF2-40B4-BE49-F238E27FC236}">
              <a16:creationId xmlns:a16="http://schemas.microsoft.com/office/drawing/2014/main" id="{00000000-0008-0000-0B00-000007010000}"/>
            </a:ext>
          </a:extLst>
        </xdr:cNvPr>
        <xdr:cNvSpPr>
          <a:spLocks noChangeAspect="1" noChangeArrowheads="1"/>
        </xdr:cNvSpPr>
      </xdr:nvSpPr>
      <xdr:spPr bwMode="auto">
        <a:xfrm>
          <a:off x="0" y="25155525"/>
          <a:ext cx="304800" cy="210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264" name="AutoShape 283" descr="+">
          <a:extLst>
            <a:ext uri="{FF2B5EF4-FFF2-40B4-BE49-F238E27FC236}">
              <a16:creationId xmlns:a16="http://schemas.microsoft.com/office/drawing/2014/main" id="{00000000-0008-0000-0B00-000008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265" name="AutoShape 284" descr="+">
          <a:extLst>
            <a:ext uri="{FF2B5EF4-FFF2-40B4-BE49-F238E27FC236}">
              <a16:creationId xmlns:a16="http://schemas.microsoft.com/office/drawing/2014/main" id="{00000000-0008-0000-0B00-000009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16200</xdr:rowOff>
    </xdr:to>
    <xdr:sp macro="" textlink="">
      <xdr:nvSpPr>
        <xdr:cNvPr id="266" name="AutoShape 285" descr="+">
          <a:extLst>
            <a:ext uri="{FF2B5EF4-FFF2-40B4-BE49-F238E27FC236}">
              <a16:creationId xmlns:a16="http://schemas.microsoft.com/office/drawing/2014/main" id="{00000000-0008-0000-0B00-00000A01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38778</xdr:rowOff>
    </xdr:to>
    <xdr:sp macro="" textlink="">
      <xdr:nvSpPr>
        <xdr:cNvPr id="267" name="AutoShape 286" descr="+">
          <a:extLst>
            <a:ext uri="{FF2B5EF4-FFF2-40B4-BE49-F238E27FC236}">
              <a16:creationId xmlns:a16="http://schemas.microsoft.com/office/drawing/2014/main" id="{00000000-0008-0000-0B00-00000B010000}"/>
            </a:ext>
          </a:extLst>
        </xdr:cNvPr>
        <xdr:cNvSpPr>
          <a:spLocks noChangeAspect="1" noChangeArrowheads="1"/>
        </xdr:cNvSpPr>
      </xdr:nvSpPr>
      <xdr:spPr bwMode="auto">
        <a:xfrm>
          <a:off x="0" y="25155525"/>
          <a:ext cx="304800" cy="2007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38781</xdr:rowOff>
    </xdr:to>
    <xdr:sp macro="" textlink="">
      <xdr:nvSpPr>
        <xdr:cNvPr id="268" name="AutoShape 287" descr="+">
          <a:extLst>
            <a:ext uri="{FF2B5EF4-FFF2-40B4-BE49-F238E27FC236}">
              <a16:creationId xmlns:a16="http://schemas.microsoft.com/office/drawing/2014/main" id="{00000000-0008-0000-0B00-00000C010000}"/>
            </a:ext>
          </a:extLst>
        </xdr:cNvPr>
        <xdr:cNvSpPr>
          <a:spLocks noChangeAspect="1" noChangeArrowheads="1"/>
        </xdr:cNvSpPr>
      </xdr:nvSpPr>
      <xdr:spPr bwMode="auto">
        <a:xfrm>
          <a:off x="0" y="25155525"/>
          <a:ext cx="304800" cy="2007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53611</xdr:rowOff>
    </xdr:to>
    <xdr:sp macro="" textlink="">
      <xdr:nvSpPr>
        <xdr:cNvPr id="269" name="AutoShape 288" descr="+">
          <a:extLst>
            <a:ext uri="{FF2B5EF4-FFF2-40B4-BE49-F238E27FC236}">
              <a16:creationId xmlns:a16="http://schemas.microsoft.com/office/drawing/2014/main" id="{00000000-0008-0000-0B00-00000D010000}"/>
            </a:ext>
          </a:extLst>
        </xdr:cNvPr>
        <xdr:cNvSpPr>
          <a:spLocks noChangeAspect="1" noChangeArrowheads="1"/>
        </xdr:cNvSpPr>
      </xdr:nvSpPr>
      <xdr:spPr bwMode="auto">
        <a:xfrm>
          <a:off x="0" y="25155525"/>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19329</xdr:rowOff>
    </xdr:to>
    <xdr:sp macro="" textlink="">
      <xdr:nvSpPr>
        <xdr:cNvPr id="270" name="AutoShape 289" descr="+">
          <a:extLst>
            <a:ext uri="{FF2B5EF4-FFF2-40B4-BE49-F238E27FC236}">
              <a16:creationId xmlns:a16="http://schemas.microsoft.com/office/drawing/2014/main" id="{00000000-0008-0000-0B00-00000E01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271" name="AutoShape 290" descr="+">
          <a:extLst>
            <a:ext uri="{FF2B5EF4-FFF2-40B4-BE49-F238E27FC236}">
              <a16:creationId xmlns:a16="http://schemas.microsoft.com/office/drawing/2014/main" id="{00000000-0008-0000-0B00-00000F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58110</xdr:rowOff>
    </xdr:to>
    <xdr:sp macro="" textlink="">
      <xdr:nvSpPr>
        <xdr:cNvPr id="272" name="AutoShape 291" descr="+">
          <a:extLst>
            <a:ext uri="{FF2B5EF4-FFF2-40B4-BE49-F238E27FC236}">
              <a16:creationId xmlns:a16="http://schemas.microsoft.com/office/drawing/2014/main" id="{00000000-0008-0000-0B00-00001001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273" name="AutoShape 292" descr="+">
          <a:extLst>
            <a:ext uri="{FF2B5EF4-FFF2-40B4-BE49-F238E27FC236}">
              <a16:creationId xmlns:a16="http://schemas.microsoft.com/office/drawing/2014/main" id="{00000000-0008-0000-0B00-000011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58108</xdr:rowOff>
    </xdr:to>
    <xdr:sp macro="" textlink="">
      <xdr:nvSpPr>
        <xdr:cNvPr id="274" name="AutoShape 293" descr="+">
          <a:extLst>
            <a:ext uri="{FF2B5EF4-FFF2-40B4-BE49-F238E27FC236}">
              <a16:creationId xmlns:a16="http://schemas.microsoft.com/office/drawing/2014/main" id="{00000000-0008-0000-0B00-00001201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275" name="AutoShape 294" descr="+">
          <a:extLst>
            <a:ext uri="{FF2B5EF4-FFF2-40B4-BE49-F238E27FC236}">
              <a16:creationId xmlns:a16="http://schemas.microsoft.com/office/drawing/2014/main" id="{00000000-0008-0000-0B00-000013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135533</xdr:rowOff>
    </xdr:to>
    <xdr:sp macro="" textlink="">
      <xdr:nvSpPr>
        <xdr:cNvPr id="276" name="AutoShape 295" descr="+">
          <a:extLst>
            <a:ext uri="{FF2B5EF4-FFF2-40B4-BE49-F238E27FC236}">
              <a16:creationId xmlns:a16="http://schemas.microsoft.com/office/drawing/2014/main" id="{00000000-0008-0000-0B00-000014010000}"/>
            </a:ext>
          </a:extLst>
        </xdr:cNvPr>
        <xdr:cNvSpPr>
          <a:spLocks noChangeAspect="1" noChangeArrowheads="1"/>
        </xdr:cNvSpPr>
      </xdr:nvSpPr>
      <xdr:spPr bwMode="auto">
        <a:xfrm>
          <a:off x="0" y="25155525"/>
          <a:ext cx="304800" cy="3050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16202</xdr:rowOff>
    </xdr:to>
    <xdr:sp macro="" textlink="">
      <xdr:nvSpPr>
        <xdr:cNvPr id="277" name="AutoShape 296" descr="+">
          <a:extLst>
            <a:ext uri="{FF2B5EF4-FFF2-40B4-BE49-F238E27FC236}">
              <a16:creationId xmlns:a16="http://schemas.microsoft.com/office/drawing/2014/main" id="{00000000-0008-0000-0B00-00001501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136932</xdr:rowOff>
    </xdr:to>
    <xdr:sp macro="" textlink="">
      <xdr:nvSpPr>
        <xdr:cNvPr id="278" name="AutoShape 297" descr="+">
          <a:extLst>
            <a:ext uri="{FF2B5EF4-FFF2-40B4-BE49-F238E27FC236}">
              <a16:creationId xmlns:a16="http://schemas.microsoft.com/office/drawing/2014/main" id="{00000000-0008-0000-0B00-000016010000}"/>
            </a:ext>
          </a:extLst>
        </xdr:cNvPr>
        <xdr:cNvSpPr>
          <a:spLocks noChangeAspect="1" noChangeArrowheads="1"/>
        </xdr:cNvSpPr>
      </xdr:nvSpPr>
      <xdr:spPr bwMode="auto">
        <a:xfrm>
          <a:off x="0" y="25155525"/>
          <a:ext cx="304800" cy="30647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58111</xdr:rowOff>
    </xdr:to>
    <xdr:sp macro="" textlink="">
      <xdr:nvSpPr>
        <xdr:cNvPr id="279" name="AutoShape 298" descr="+">
          <a:extLst>
            <a:ext uri="{FF2B5EF4-FFF2-40B4-BE49-F238E27FC236}">
              <a16:creationId xmlns:a16="http://schemas.microsoft.com/office/drawing/2014/main" id="{00000000-0008-0000-0B00-000017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41</xdr:row>
      <xdr:rowOff>0</xdr:rowOff>
    </xdr:from>
    <xdr:ext cx="304800" cy="166687"/>
    <xdr:sp macro="" textlink="">
      <xdr:nvSpPr>
        <xdr:cNvPr id="282" name="AutoShape 80" descr="+">
          <a:extLst>
            <a:ext uri="{FF2B5EF4-FFF2-40B4-BE49-F238E27FC236}">
              <a16:creationId xmlns:a16="http://schemas.microsoft.com/office/drawing/2014/main" id="{00000000-0008-0000-0B00-00001A010000}"/>
            </a:ext>
          </a:extLst>
        </xdr:cNvPr>
        <xdr:cNvSpPr>
          <a:spLocks noChangeAspect="1" noChangeArrowheads="1"/>
        </xdr:cNvSpPr>
      </xdr:nvSpPr>
      <xdr:spPr bwMode="auto">
        <a:xfrm>
          <a:off x="0" y="217169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1496786</xdr:colOff>
      <xdr:row>41</xdr:row>
      <xdr:rowOff>0</xdr:rowOff>
    </xdr:from>
    <xdr:ext cx="304800" cy="166687"/>
    <xdr:sp macro="" textlink="">
      <xdr:nvSpPr>
        <xdr:cNvPr id="283" name="AutoShape 80" descr="+">
          <a:extLst>
            <a:ext uri="{FF2B5EF4-FFF2-40B4-BE49-F238E27FC236}">
              <a16:creationId xmlns:a16="http://schemas.microsoft.com/office/drawing/2014/main" id="{00000000-0008-0000-0B00-00001B010000}"/>
            </a:ext>
          </a:extLst>
        </xdr:cNvPr>
        <xdr:cNvSpPr>
          <a:spLocks noChangeAspect="1" noChangeArrowheads="1"/>
        </xdr:cNvSpPr>
      </xdr:nvSpPr>
      <xdr:spPr bwMode="auto">
        <a:xfrm>
          <a:off x="1496786" y="219074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4598</xdr:colOff>
      <xdr:row>62</xdr:row>
      <xdr:rowOff>29936</xdr:rowOff>
    </xdr:from>
    <xdr:to>
      <xdr:col>5</xdr:col>
      <xdr:colOff>305706</xdr:colOff>
      <xdr:row>62</xdr:row>
      <xdr:rowOff>2988203</xdr:rowOff>
    </xdr:to>
    <xdr:pic>
      <xdr:nvPicPr>
        <xdr:cNvPr id="288" name="Picture 287">
          <a:extLst>
            <a:ext uri="{FF2B5EF4-FFF2-40B4-BE49-F238E27FC236}">
              <a16:creationId xmlns:a16="http://schemas.microsoft.com/office/drawing/2014/main" id="{00000000-0008-0000-0B00-000020010000}"/>
            </a:ext>
          </a:extLst>
        </xdr:cNvPr>
        <xdr:cNvPicPr>
          <a:picLocks noChangeAspect="1"/>
        </xdr:cNvPicPr>
      </xdr:nvPicPr>
      <xdr:blipFill>
        <a:blip xmlns:r="http://schemas.openxmlformats.org/officeDocument/2006/relationships" r:embed="rId1"/>
        <a:stretch>
          <a:fillRect/>
        </a:stretch>
      </xdr:blipFill>
      <xdr:spPr>
        <a:xfrm>
          <a:off x="183892" y="23629524"/>
          <a:ext cx="6934990" cy="2954457"/>
        </a:xfrm>
        <a:prstGeom prst="rect">
          <a:avLst/>
        </a:prstGeom>
        <a:ln>
          <a:solidFill>
            <a:schemeClr val="tx1"/>
          </a:solidFill>
        </a:ln>
      </xdr:spPr>
    </xdr:pic>
    <xdr:clientData/>
  </xdr:twoCellAnchor>
  <xdr:twoCellAnchor editAs="oneCell">
    <xdr:from>
      <xdr:col>1</xdr:col>
      <xdr:colOff>39190</xdr:colOff>
      <xdr:row>32</xdr:row>
      <xdr:rowOff>39766</xdr:rowOff>
    </xdr:from>
    <xdr:to>
      <xdr:col>4</xdr:col>
      <xdr:colOff>782262</xdr:colOff>
      <xdr:row>32</xdr:row>
      <xdr:rowOff>3714728</xdr:rowOff>
    </xdr:to>
    <xdr:pic>
      <xdr:nvPicPr>
        <xdr:cNvPr id="293" name="Picture 292">
          <a:extLst>
            <a:ext uri="{FF2B5EF4-FFF2-40B4-BE49-F238E27FC236}">
              <a16:creationId xmlns:a16="http://schemas.microsoft.com/office/drawing/2014/main" id="{00000000-0008-0000-0B00-000025010000}"/>
            </a:ext>
          </a:extLst>
        </xdr:cNvPr>
        <xdr:cNvPicPr>
          <a:picLocks noChangeAspect="1"/>
        </xdr:cNvPicPr>
      </xdr:nvPicPr>
      <xdr:blipFill>
        <a:blip xmlns:r="http://schemas.openxmlformats.org/officeDocument/2006/relationships" r:embed="rId2"/>
        <a:stretch>
          <a:fillRect/>
        </a:stretch>
      </xdr:blipFill>
      <xdr:spPr>
        <a:xfrm>
          <a:off x="218484" y="10237119"/>
          <a:ext cx="6319792" cy="3678772"/>
        </a:xfrm>
        <a:prstGeom prst="rect">
          <a:avLst/>
        </a:prstGeom>
        <a:ln>
          <a:solidFill>
            <a:schemeClr val="tx1"/>
          </a:solidFill>
        </a:ln>
      </xdr:spPr>
    </xdr:pic>
    <xdr:clientData/>
  </xdr:twoCellAnchor>
  <xdr:twoCellAnchor editAs="oneCell">
    <xdr:from>
      <xdr:col>1</xdr:col>
      <xdr:colOff>6724</xdr:colOff>
      <xdr:row>47</xdr:row>
      <xdr:rowOff>45943</xdr:rowOff>
    </xdr:from>
    <xdr:to>
      <xdr:col>4</xdr:col>
      <xdr:colOff>777359</xdr:colOff>
      <xdr:row>47</xdr:row>
      <xdr:rowOff>2836141</xdr:rowOff>
    </xdr:to>
    <xdr:pic>
      <xdr:nvPicPr>
        <xdr:cNvPr id="292" name="Picture 291">
          <a:extLst>
            <a:ext uri="{FF2B5EF4-FFF2-40B4-BE49-F238E27FC236}">
              <a16:creationId xmlns:a16="http://schemas.microsoft.com/office/drawing/2014/main" id="{00000000-0008-0000-0B00-000024010000}"/>
            </a:ext>
          </a:extLst>
        </xdr:cNvPr>
        <xdr:cNvPicPr>
          <a:picLocks noChangeAspect="1"/>
        </xdr:cNvPicPr>
      </xdr:nvPicPr>
      <xdr:blipFill>
        <a:blip xmlns:r="http://schemas.openxmlformats.org/officeDocument/2006/relationships" r:embed="rId3"/>
        <a:stretch>
          <a:fillRect/>
        </a:stretch>
      </xdr:blipFill>
      <xdr:spPr>
        <a:xfrm>
          <a:off x="186018" y="17426267"/>
          <a:ext cx="6343545" cy="2794008"/>
        </a:xfrm>
        <a:prstGeom prst="rect">
          <a:avLst/>
        </a:prstGeom>
        <a:ln>
          <a:solidFill>
            <a:schemeClr val="tx1"/>
          </a:solidFill>
        </a:ln>
      </xdr:spPr>
    </xdr:pic>
    <xdr:clientData/>
  </xdr:twoCellAnchor>
  <xdr:twoCellAnchor editAs="oneCell">
    <xdr:from>
      <xdr:col>4</xdr:col>
      <xdr:colOff>966107</xdr:colOff>
      <xdr:row>32</xdr:row>
      <xdr:rowOff>20707</xdr:rowOff>
    </xdr:from>
    <xdr:to>
      <xdr:col>9</xdr:col>
      <xdr:colOff>478428</xdr:colOff>
      <xdr:row>32</xdr:row>
      <xdr:rowOff>3735880</xdr:rowOff>
    </xdr:to>
    <xdr:pic>
      <xdr:nvPicPr>
        <xdr:cNvPr id="280" name="Picture 279">
          <a:extLst>
            <a:ext uri="{FF2B5EF4-FFF2-40B4-BE49-F238E27FC236}">
              <a16:creationId xmlns:a16="http://schemas.microsoft.com/office/drawing/2014/main" id="{04237B66-6525-454F-86AE-CA534486FC15}"/>
            </a:ext>
          </a:extLst>
        </xdr:cNvPr>
        <xdr:cNvPicPr>
          <a:picLocks noChangeAspect="1"/>
        </xdr:cNvPicPr>
      </xdr:nvPicPr>
      <xdr:blipFill>
        <a:blip xmlns:r="http://schemas.openxmlformats.org/officeDocument/2006/relationships" r:embed="rId4"/>
        <a:stretch>
          <a:fillRect/>
        </a:stretch>
      </xdr:blipFill>
      <xdr:spPr>
        <a:xfrm>
          <a:off x="6735536" y="10402957"/>
          <a:ext cx="5211536" cy="3715173"/>
        </a:xfrm>
        <a:prstGeom prst="rect">
          <a:avLst/>
        </a:prstGeom>
        <a:ln>
          <a:solidFill>
            <a:schemeClr val="tx1"/>
          </a:solidFill>
        </a:ln>
      </xdr:spPr>
    </xdr:pic>
    <xdr:clientData/>
  </xdr:twoCellAnchor>
  <xdr:twoCellAnchor editAs="oneCell">
    <xdr:from>
      <xdr:col>4</xdr:col>
      <xdr:colOff>1006928</xdr:colOff>
      <xdr:row>47</xdr:row>
      <xdr:rowOff>54430</xdr:rowOff>
    </xdr:from>
    <xdr:to>
      <xdr:col>10</xdr:col>
      <xdr:colOff>932520</xdr:colOff>
      <xdr:row>47</xdr:row>
      <xdr:rowOff>2839811</xdr:rowOff>
    </xdr:to>
    <xdr:pic>
      <xdr:nvPicPr>
        <xdr:cNvPr id="281" name="Picture 280">
          <a:extLst>
            <a:ext uri="{FF2B5EF4-FFF2-40B4-BE49-F238E27FC236}">
              <a16:creationId xmlns:a16="http://schemas.microsoft.com/office/drawing/2014/main" id="{0D65FA0B-0647-470D-B440-6C5506C1FD34}"/>
            </a:ext>
          </a:extLst>
        </xdr:cNvPr>
        <xdr:cNvPicPr>
          <a:picLocks noChangeAspect="1"/>
        </xdr:cNvPicPr>
      </xdr:nvPicPr>
      <xdr:blipFill>
        <a:blip xmlns:r="http://schemas.openxmlformats.org/officeDocument/2006/relationships" r:embed="rId5"/>
        <a:stretch>
          <a:fillRect/>
        </a:stretch>
      </xdr:blipFill>
      <xdr:spPr>
        <a:xfrm>
          <a:off x="6776357" y="17689287"/>
          <a:ext cx="6678544" cy="2775856"/>
        </a:xfrm>
        <a:prstGeom prst="rect">
          <a:avLst/>
        </a:prstGeom>
        <a:ln>
          <a:solidFill>
            <a:schemeClr val="tx1"/>
          </a:solidFill>
        </a:ln>
      </xdr:spPr>
    </xdr:pic>
    <xdr:clientData/>
  </xdr:twoCellAnchor>
  <xdr:twoCellAnchor editAs="oneCell">
    <xdr:from>
      <xdr:col>5</xdr:col>
      <xdr:colOff>490818</xdr:colOff>
      <xdr:row>62</xdr:row>
      <xdr:rowOff>33620</xdr:rowOff>
    </xdr:from>
    <xdr:to>
      <xdr:col>11</xdr:col>
      <xdr:colOff>20731</xdr:colOff>
      <xdr:row>62</xdr:row>
      <xdr:rowOff>2987066</xdr:rowOff>
    </xdr:to>
    <xdr:pic>
      <xdr:nvPicPr>
        <xdr:cNvPr id="284" name="Picture 283">
          <a:extLst>
            <a:ext uri="{FF2B5EF4-FFF2-40B4-BE49-F238E27FC236}">
              <a16:creationId xmlns:a16="http://schemas.microsoft.com/office/drawing/2014/main" id="{287CCBEE-2E4C-421F-96E6-293D1AE950CD}"/>
            </a:ext>
          </a:extLst>
        </xdr:cNvPr>
        <xdr:cNvPicPr>
          <a:picLocks noChangeAspect="1"/>
        </xdr:cNvPicPr>
      </xdr:nvPicPr>
      <xdr:blipFill>
        <a:blip xmlns:r="http://schemas.openxmlformats.org/officeDocument/2006/relationships" r:embed="rId6"/>
        <a:stretch>
          <a:fillRect/>
        </a:stretch>
      </xdr:blipFill>
      <xdr:spPr>
        <a:xfrm>
          <a:off x="7303994" y="23711649"/>
          <a:ext cx="6232712" cy="2949636"/>
        </a:xfrm>
        <a:prstGeom prst="rect">
          <a:avLst/>
        </a:prstGeom>
        <a:ln>
          <a:solidFill>
            <a:schemeClr val="tx1"/>
          </a:solidFill>
        </a:ln>
      </xdr:spPr>
    </xdr:pic>
    <xdr:clientData/>
  </xdr:twoCellAnchor>
  <xdr:twoCellAnchor editAs="oneCell">
    <xdr:from>
      <xdr:col>7</xdr:col>
      <xdr:colOff>28575</xdr:colOff>
      <xdr:row>0</xdr:row>
      <xdr:rowOff>76200</xdr:rowOff>
    </xdr:from>
    <xdr:to>
      <xdr:col>9</xdr:col>
      <xdr:colOff>401662</xdr:colOff>
      <xdr:row>6</xdr:row>
      <xdr:rowOff>15455</xdr:rowOff>
    </xdr:to>
    <xdr:pic>
      <xdr:nvPicPr>
        <xdr:cNvPr id="289" name="Picture 288">
          <a:extLst>
            <a:ext uri="{FF2B5EF4-FFF2-40B4-BE49-F238E27FC236}">
              <a16:creationId xmlns:a16="http://schemas.microsoft.com/office/drawing/2014/main" id="{E2EB117E-ED0A-4E91-ACEE-229BC7271A87}"/>
            </a:ext>
          </a:extLst>
        </xdr:cNvPr>
        <xdr:cNvPicPr>
          <a:picLocks noChangeAspect="1"/>
        </xdr:cNvPicPr>
      </xdr:nvPicPr>
      <xdr:blipFill>
        <a:blip xmlns:r="http://schemas.openxmlformats.org/officeDocument/2006/relationships" r:embed="rId7"/>
        <a:stretch>
          <a:fillRect/>
        </a:stretch>
      </xdr:blipFill>
      <xdr:spPr>
        <a:xfrm>
          <a:off x="9124950" y="76200"/>
          <a:ext cx="2702902" cy="10746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56</xdr:row>
      <xdr:rowOff>0</xdr:rowOff>
    </xdr:from>
    <xdr:to>
      <xdr:col>5</xdr:col>
      <xdr:colOff>15240</xdr:colOff>
      <xdr:row>60</xdr:row>
      <xdr:rowOff>41160</xdr:rowOff>
    </xdr:to>
    <xdr:pic>
      <xdr:nvPicPr>
        <xdr:cNvPr id="7" name="Picture 6">
          <a:extLst>
            <a:ext uri="{FF2B5EF4-FFF2-40B4-BE49-F238E27FC236}">
              <a16:creationId xmlns:a16="http://schemas.microsoft.com/office/drawing/2014/main" id="{151E6A86-6FDB-4DE7-8902-DF61D8CA5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62600" y="13982700"/>
          <a:ext cx="153352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152400</xdr:colOff>
      <xdr:row>0</xdr:row>
      <xdr:rowOff>114300</xdr:rowOff>
    </xdr:from>
    <xdr:to>
      <xdr:col>6</xdr:col>
      <xdr:colOff>912202</xdr:colOff>
      <xdr:row>6</xdr:row>
      <xdr:rowOff>17360</xdr:rowOff>
    </xdr:to>
    <xdr:pic>
      <xdr:nvPicPr>
        <xdr:cNvPr id="5" name="Picture 4">
          <a:extLst>
            <a:ext uri="{FF2B5EF4-FFF2-40B4-BE49-F238E27FC236}">
              <a16:creationId xmlns:a16="http://schemas.microsoft.com/office/drawing/2014/main" id="{B2B6B959-BA27-4E16-82F0-B8FF3DCADE5F}"/>
            </a:ext>
          </a:extLst>
        </xdr:cNvPr>
        <xdr:cNvPicPr>
          <a:picLocks noChangeAspect="1"/>
        </xdr:cNvPicPr>
      </xdr:nvPicPr>
      <xdr:blipFill>
        <a:blip xmlns:r="http://schemas.openxmlformats.org/officeDocument/2006/relationships" r:embed="rId2"/>
        <a:stretch>
          <a:fillRect/>
        </a:stretch>
      </xdr:blipFill>
      <xdr:spPr>
        <a:xfrm>
          <a:off x="10287000" y="114300"/>
          <a:ext cx="2702902" cy="10746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90994</xdr:colOff>
      <xdr:row>4</xdr:row>
      <xdr:rowOff>109530</xdr:rowOff>
    </xdr:from>
    <xdr:to>
      <xdr:col>1</xdr:col>
      <xdr:colOff>2473901</xdr:colOff>
      <xdr:row>10</xdr:row>
      <xdr:rowOff>132661</xdr:rowOff>
    </xdr:to>
    <xdr:pic>
      <xdr:nvPicPr>
        <xdr:cNvPr id="2" name="Picture 1">
          <a:extLst>
            <a:ext uri="{FF2B5EF4-FFF2-40B4-BE49-F238E27FC236}">
              <a16:creationId xmlns:a16="http://schemas.microsoft.com/office/drawing/2014/main" id="{D8D209E9-B7DF-44FF-BDEF-97081A31E940}"/>
            </a:ext>
          </a:extLst>
        </xdr:cNvPr>
        <xdr:cNvPicPr>
          <a:picLocks noChangeAspect="1"/>
        </xdr:cNvPicPr>
      </xdr:nvPicPr>
      <xdr:blipFill>
        <a:blip xmlns:r="http://schemas.openxmlformats.org/officeDocument/2006/relationships" r:embed="rId1"/>
        <a:stretch>
          <a:fillRect/>
        </a:stretch>
      </xdr:blipFill>
      <xdr:spPr>
        <a:xfrm>
          <a:off x="90994" y="1489013"/>
          <a:ext cx="2507717" cy="1012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340129</xdr:colOff>
      <xdr:row>1</xdr:row>
      <xdr:rowOff>60959</xdr:rowOff>
    </xdr:to>
    <xdr:sp macro="" textlink="">
      <xdr:nvSpPr>
        <xdr:cNvPr id="2" name="TextBox 1">
          <a:extLst>
            <a:ext uri="{FF2B5EF4-FFF2-40B4-BE49-F238E27FC236}">
              <a16:creationId xmlns:a16="http://schemas.microsoft.com/office/drawing/2014/main" id="{74C3B19F-3AD8-4BC1-8F0E-AF0ACB261619}"/>
            </a:ext>
          </a:extLst>
        </xdr:cNvPr>
        <xdr:cNvSpPr txBox="1"/>
      </xdr:nvSpPr>
      <xdr:spPr>
        <a:xfrm>
          <a:off x="0" y="0"/>
          <a:ext cx="2923309" cy="228599"/>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800" b="1" kern="1200">
              <a:solidFill>
                <a:schemeClr val="bg1"/>
              </a:solidFill>
            </a:rPr>
            <a:t>DRAFT - DO NOT DISTRIBUTE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41423</xdr:colOff>
      <xdr:row>42</xdr:row>
      <xdr:rowOff>65827</xdr:rowOff>
    </xdr:from>
    <xdr:to>
      <xdr:col>10</xdr:col>
      <xdr:colOff>394866</xdr:colOff>
      <xdr:row>75</xdr:row>
      <xdr:rowOff>24260</xdr:rowOff>
    </xdr:to>
    <xdr:graphicFrame macro="">
      <xdr:nvGraphicFramePr>
        <xdr:cNvPr id="4" name="Chart 3">
          <a:extLst>
            <a:ext uri="{FF2B5EF4-FFF2-40B4-BE49-F238E27FC236}">
              <a16:creationId xmlns:a16="http://schemas.microsoft.com/office/drawing/2014/main" id="{7B137A18-1441-483E-97BD-A87D951B9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236332</xdr:colOff>
      <xdr:row>43</xdr:row>
      <xdr:rowOff>43575</xdr:rowOff>
    </xdr:from>
    <xdr:to>
      <xdr:col>20</xdr:col>
      <xdr:colOff>294312</xdr:colOff>
      <xdr:row>66</xdr:row>
      <xdr:rowOff>82798</xdr:rowOff>
    </xdr:to>
    <xdr:graphicFrame macro="">
      <xdr:nvGraphicFramePr>
        <xdr:cNvPr id="6" name="Chart 5">
          <a:extLst>
            <a:ext uri="{FF2B5EF4-FFF2-40B4-BE49-F238E27FC236}">
              <a16:creationId xmlns:a16="http://schemas.microsoft.com/office/drawing/2014/main" id="{483C3623-ADE9-4C30-9EBB-7E5FBE6080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21</xdr:col>
      <xdr:colOff>0</xdr:colOff>
      <xdr:row>2</xdr:row>
      <xdr:rowOff>85724</xdr:rowOff>
    </xdr:to>
    <xdr:pic>
      <xdr:nvPicPr>
        <xdr:cNvPr id="8" name="Picture 7">
          <a:extLst>
            <a:ext uri="{FF2B5EF4-FFF2-40B4-BE49-F238E27FC236}">
              <a16:creationId xmlns:a16="http://schemas.microsoft.com/office/drawing/2014/main" id="{8BCB2C0D-BD53-4C73-B7FD-38245CE15AED}"/>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2801600" cy="409574"/>
        </a:xfrm>
        <a:prstGeom prst="rect">
          <a:avLst/>
        </a:prstGeom>
        <a:noFill/>
        <a:ln>
          <a:noFill/>
        </a:ln>
      </xdr:spPr>
    </xdr:pic>
    <xdr:clientData/>
  </xdr:twoCellAnchor>
  <xdr:twoCellAnchor>
    <xdr:from>
      <xdr:col>12</xdr:col>
      <xdr:colOff>126666</xdr:colOff>
      <xdr:row>7</xdr:row>
      <xdr:rowOff>13725</xdr:rowOff>
    </xdr:from>
    <xdr:to>
      <xdr:col>21</xdr:col>
      <xdr:colOff>359938</xdr:colOff>
      <xdr:row>36</xdr:row>
      <xdr:rowOff>134828</xdr:rowOff>
    </xdr:to>
    <xdr:graphicFrame macro="">
      <xdr:nvGraphicFramePr>
        <xdr:cNvPr id="9" name="Chart 8">
          <a:extLst>
            <a:ext uri="{FF2B5EF4-FFF2-40B4-BE49-F238E27FC236}">
              <a16:creationId xmlns:a16="http://schemas.microsoft.com/office/drawing/2014/main" id="{C4542AA9-BB44-4AAF-BD7D-C9B0D6067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561975</xdr:colOff>
      <xdr:row>6</xdr:row>
      <xdr:rowOff>129445</xdr:rowOff>
    </xdr:from>
    <xdr:to>
      <xdr:col>11</xdr:col>
      <xdr:colOff>411816</xdr:colOff>
      <xdr:row>40</xdr:row>
      <xdr:rowOff>155932</xdr:rowOff>
    </xdr:to>
    <xdr:graphicFrame macro="">
      <xdr:nvGraphicFramePr>
        <xdr:cNvPr id="11" name="Chart 10">
          <a:extLst>
            <a:ext uri="{FF2B5EF4-FFF2-40B4-BE49-F238E27FC236}">
              <a16:creationId xmlns:a16="http://schemas.microsoft.com/office/drawing/2014/main" id="{4E6C0938-E2C5-4624-94F0-8A06097F2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533400</xdr:colOff>
      <xdr:row>77</xdr:row>
      <xdr:rowOff>57150</xdr:rowOff>
    </xdr:from>
    <xdr:to>
      <xdr:col>16</xdr:col>
      <xdr:colOff>296957</xdr:colOff>
      <xdr:row>118</xdr:row>
      <xdr:rowOff>123825</xdr:rowOff>
    </xdr:to>
    <xdr:graphicFrame macro="">
      <xdr:nvGraphicFramePr>
        <xdr:cNvPr id="7" name="Chart 6">
          <a:extLst>
            <a:ext uri="{FF2B5EF4-FFF2-40B4-BE49-F238E27FC236}">
              <a16:creationId xmlns:a16="http://schemas.microsoft.com/office/drawing/2014/main" id="{080EB51A-827C-43D4-AAD0-111658F9F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149087</xdr:colOff>
      <xdr:row>13</xdr:row>
      <xdr:rowOff>74545</xdr:rowOff>
    </xdr:from>
    <xdr:to>
      <xdr:col>5</xdr:col>
      <xdr:colOff>321983</xdr:colOff>
      <xdr:row>17</xdr:row>
      <xdr:rowOff>282654</xdr:rowOff>
    </xdr:to>
    <xdr:pic>
      <xdr:nvPicPr>
        <xdr:cNvPr id="4" name="Picture 3">
          <a:extLst>
            <a:ext uri="{FF2B5EF4-FFF2-40B4-BE49-F238E27FC236}">
              <a16:creationId xmlns:a16="http://schemas.microsoft.com/office/drawing/2014/main" id="{12DCAAB8-2928-45D2-BC04-BEF6B7576D0B}"/>
            </a:ext>
          </a:extLst>
        </xdr:cNvPr>
        <xdr:cNvPicPr>
          <a:picLocks noChangeAspect="1"/>
        </xdr:cNvPicPr>
      </xdr:nvPicPr>
      <xdr:blipFill>
        <a:blip xmlns:r="http://schemas.openxmlformats.org/officeDocument/2006/relationships" r:embed="rId1"/>
        <a:stretch>
          <a:fillRect/>
        </a:stretch>
      </xdr:blipFill>
      <xdr:spPr>
        <a:xfrm>
          <a:off x="7611717" y="2459936"/>
          <a:ext cx="2702902" cy="10746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161925</xdr:colOff>
      <xdr:row>0</xdr:row>
      <xdr:rowOff>142875</xdr:rowOff>
    </xdr:from>
    <xdr:to>
      <xdr:col>7</xdr:col>
      <xdr:colOff>134962</xdr:colOff>
      <xdr:row>5</xdr:row>
      <xdr:rowOff>150710</xdr:rowOff>
    </xdr:to>
    <xdr:pic>
      <xdr:nvPicPr>
        <xdr:cNvPr id="10" name="Picture 9">
          <a:extLst>
            <a:ext uri="{FF2B5EF4-FFF2-40B4-BE49-F238E27FC236}">
              <a16:creationId xmlns:a16="http://schemas.microsoft.com/office/drawing/2014/main" id="{5E623E46-708B-43DB-A13D-794BA12B5E0C}"/>
            </a:ext>
          </a:extLst>
        </xdr:cNvPr>
        <xdr:cNvPicPr>
          <a:picLocks noChangeAspect="1"/>
        </xdr:cNvPicPr>
      </xdr:nvPicPr>
      <xdr:blipFill>
        <a:blip xmlns:r="http://schemas.openxmlformats.org/officeDocument/2006/relationships" r:embed="rId1"/>
        <a:stretch>
          <a:fillRect/>
        </a:stretch>
      </xdr:blipFill>
      <xdr:spPr>
        <a:xfrm>
          <a:off x="10868025" y="142875"/>
          <a:ext cx="2702902" cy="10746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146539</xdr:colOff>
      <xdr:row>0</xdr:row>
      <xdr:rowOff>131884</xdr:rowOff>
    </xdr:from>
    <xdr:to>
      <xdr:col>9</xdr:col>
      <xdr:colOff>628504</xdr:colOff>
      <xdr:row>6</xdr:row>
      <xdr:rowOff>41538</xdr:rowOff>
    </xdr:to>
    <xdr:pic>
      <xdr:nvPicPr>
        <xdr:cNvPr id="5" name="Picture 4">
          <a:extLst>
            <a:ext uri="{FF2B5EF4-FFF2-40B4-BE49-F238E27FC236}">
              <a16:creationId xmlns:a16="http://schemas.microsoft.com/office/drawing/2014/main" id="{A6D4AFD4-7656-4107-A4E1-F127008FF4BD}"/>
            </a:ext>
          </a:extLst>
        </xdr:cNvPr>
        <xdr:cNvPicPr>
          <a:picLocks noChangeAspect="1"/>
        </xdr:cNvPicPr>
      </xdr:nvPicPr>
      <xdr:blipFill>
        <a:blip xmlns:r="http://schemas.openxmlformats.org/officeDocument/2006/relationships" r:embed="rId1"/>
        <a:stretch>
          <a:fillRect/>
        </a:stretch>
      </xdr:blipFill>
      <xdr:spPr>
        <a:xfrm>
          <a:off x="9554308" y="131884"/>
          <a:ext cx="2702902" cy="10746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257736</xdr:colOff>
      <xdr:row>0</xdr:row>
      <xdr:rowOff>134471</xdr:rowOff>
    </xdr:from>
    <xdr:to>
      <xdr:col>6</xdr:col>
      <xdr:colOff>1770685</xdr:colOff>
      <xdr:row>5</xdr:row>
      <xdr:rowOff>245624</xdr:rowOff>
    </xdr:to>
    <xdr:pic>
      <xdr:nvPicPr>
        <xdr:cNvPr id="5" name="Picture 4">
          <a:extLst>
            <a:ext uri="{FF2B5EF4-FFF2-40B4-BE49-F238E27FC236}">
              <a16:creationId xmlns:a16="http://schemas.microsoft.com/office/drawing/2014/main" id="{C4DCC0C7-FF63-443B-AC61-BDD8DE9CD322}"/>
            </a:ext>
          </a:extLst>
        </xdr:cNvPr>
        <xdr:cNvPicPr>
          <a:picLocks noChangeAspect="1"/>
        </xdr:cNvPicPr>
      </xdr:nvPicPr>
      <xdr:blipFill>
        <a:blip xmlns:r="http://schemas.openxmlformats.org/officeDocument/2006/relationships" r:embed="rId1"/>
        <a:stretch>
          <a:fillRect/>
        </a:stretch>
      </xdr:blipFill>
      <xdr:spPr>
        <a:xfrm>
          <a:off x="10701618" y="134471"/>
          <a:ext cx="2702902" cy="10746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133350</xdr:colOff>
      <xdr:row>0</xdr:row>
      <xdr:rowOff>161925</xdr:rowOff>
    </xdr:from>
    <xdr:to>
      <xdr:col>7</xdr:col>
      <xdr:colOff>397852</xdr:colOff>
      <xdr:row>6</xdr:row>
      <xdr:rowOff>17360</xdr:rowOff>
    </xdr:to>
    <xdr:pic>
      <xdr:nvPicPr>
        <xdr:cNvPr id="6" name="Picture 5">
          <a:extLst>
            <a:ext uri="{FF2B5EF4-FFF2-40B4-BE49-F238E27FC236}">
              <a16:creationId xmlns:a16="http://schemas.microsoft.com/office/drawing/2014/main" id="{1F96C449-19DD-47AB-89BE-128E408B21E2}"/>
            </a:ext>
          </a:extLst>
        </xdr:cNvPr>
        <xdr:cNvPicPr>
          <a:picLocks noChangeAspect="1"/>
        </xdr:cNvPicPr>
      </xdr:nvPicPr>
      <xdr:blipFill>
        <a:blip xmlns:r="http://schemas.openxmlformats.org/officeDocument/2006/relationships" r:embed="rId1"/>
        <a:stretch>
          <a:fillRect/>
        </a:stretch>
      </xdr:blipFill>
      <xdr:spPr>
        <a:xfrm>
          <a:off x="7096125" y="161925"/>
          <a:ext cx="2702902" cy="1074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AL1001\Projects\Projects%20%23-G\C-CAG_TA\8.GHG_Inv\Mun_Inv_2015\Template_Municipal\2010_RedwoodCity_GovOps_Inventory_2016_5_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book Intro"/>
      <sheetName val="Report Charts and Tables"/>
      <sheetName val="Inventory Data Checklist"/>
      <sheetName val="Inventory Log"/>
      <sheetName val="Emissions Outputs, Summary"/>
      <sheetName val="Emissions Outputs, Detailed"/>
      <sheetName val="FA-Categories"/>
      <sheetName val="FA-All Account Summary"/>
      <sheetName val="FA-Utility Working Data"/>
      <sheetName val="FA-Utility Raw Data"/>
      <sheetName val="FA-Other Fuel Raw Data"/>
      <sheetName val="Buildings&amp;Facilities Final Data"/>
      <sheetName val="Buildings&amp;Facilit Working Data"/>
      <sheetName val="Public Lighting Final Data"/>
      <sheetName val="Public Lighting Working Data"/>
      <sheetName val="Water Transport Final Data"/>
      <sheetName val="Water Transport Working Data"/>
      <sheetName val="Port &amp; Marina Final Data"/>
      <sheetName val="Port &amp; Marina Working Data"/>
      <sheetName val="Airport Final Data"/>
      <sheetName val="Airport Working Data"/>
      <sheetName val="WW-Energy Use Final Data"/>
      <sheetName val="WW-Energy Use Working Data"/>
      <sheetName val="WW-Raw Data"/>
      <sheetName val="WW-Central. Trtment Final Data"/>
      <sheetName val="WW-Anaerobic Digester Final Dat"/>
      <sheetName val="WW-Lagoons Final Data"/>
      <sheetName val="WW-Septic Systems Final Data"/>
      <sheetName val="SWL-Energy Use Final Data"/>
      <sheetName val="SWL-Energy Use Working Data"/>
      <sheetName val="SWL-Landfill Final Data"/>
      <sheetName val="SWL-Landfill Raw Data"/>
      <sheetName val="MPG-Energy Use Final Data"/>
      <sheetName val="MPG-Energy Use Working Data"/>
      <sheetName val="MPG-CEMS Final Data"/>
      <sheetName val="MPG-Waste Fuels Final Data"/>
      <sheetName val="MPG-Emissions Factors"/>
      <sheetName val="MPG-SF6 Final Data"/>
      <sheetName val="MPG-T&amp;D Loss Final Data"/>
      <sheetName val="MPG-Fugitive CH4-N2O Data"/>
      <sheetName val="MPG-Emergency Gen. Final Data "/>
      <sheetName val="MPG-Raw Data"/>
      <sheetName val="VF-Detailed Fuel Final Data"/>
      <sheetName val="VF-Aggregate Fuel Final Data"/>
      <sheetName val="VF-VMT Final Data"/>
      <sheetName val="VF-Raw Data"/>
      <sheetName val="Transit Detailed Final Data"/>
      <sheetName val="Transit Aggregate Final Data"/>
      <sheetName val=" Transit VMT Final Data"/>
      <sheetName val="Transit Raw Data"/>
      <sheetName val="WG-Solid Waste Final Input Data"/>
      <sheetName val="WG-Solid Waste by Volume Data"/>
      <sheetName val="WG-Solid Waste by Weight Data"/>
      <sheetName val="WG-Self-Haul Waste Data"/>
      <sheetName val="WG-Solid Waste Factors"/>
      <sheetName val="WG-Solid Waste Raw Data"/>
      <sheetName val="EC-Emissions Final Data"/>
      <sheetName val="EC-Indicators Final Data"/>
      <sheetName val="EC-Working Data"/>
      <sheetName val="EC-Raw Data"/>
      <sheetName val="RF-FA Mass Balance Data"/>
      <sheetName val="RF-FA Simple Mass Balance "/>
      <sheetName val="RF-FA Default Emission Rates"/>
      <sheetName val="RF-VF Mass Balance Data"/>
      <sheetName val="RF-VF Default Emission Rates"/>
      <sheetName val="RF-Raw Data"/>
      <sheetName val="CS-Sector Explanation"/>
      <sheetName val="CS-Emissions Final Data"/>
      <sheetName val="CS-Indicators Final Data"/>
      <sheetName val="CS-Working Data"/>
      <sheetName val="CS-Raw Data"/>
      <sheetName val="Information Ite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theme/theme1.xml><?xml version="1.0" encoding="utf-8"?>
<a:theme xmlns:a="http://schemas.openxmlformats.org/drawingml/2006/main" name="Office Theme">
  <a:themeElements>
    <a:clrScheme name="DNV powerpoint">
      <a:dk1>
        <a:srgbClr val="333333"/>
      </a:dk1>
      <a:lt1>
        <a:srgbClr val="FFFFFF"/>
      </a:lt1>
      <a:dk2>
        <a:srgbClr val="0F204B"/>
      </a:dk2>
      <a:lt2>
        <a:srgbClr val="C8C8C8"/>
      </a:lt2>
      <a:accent1>
        <a:srgbClr val="99D6F0"/>
      </a:accent1>
      <a:accent2>
        <a:srgbClr val="3F9C35"/>
      </a:accent2>
      <a:accent3>
        <a:srgbClr val="003591"/>
      </a:accent3>
      <a:accent4>
        <a:srgbClr val="009FDA"/>
      </a:accent4>
      <a:accent5>
        <a:srgbClr val="66C5E9"/>
      </a:accent5>
      <a:accent6>
        <a:srgbClr val="FECB00"/>
      </a:accent6>
      <a:hlink>
        <a:srgbClr val="003591"/>
      </a:hlink>
      <a:folHlink>
        <a:srgbClr val="6E50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eia.gov/electricity/state/archive/2021/massachusetts/" TargetMode="External"/><Relationship Id="rId13" Type="http://schemas.openxmlformats.org/officeDocument/2006/relationships/hyperlink" Target="https://www.eia.gov/consumption/manufacturing/data/2018/" TargetMode="External"/><Relationship Id="rId3" Type="http://schemas.openxmlformats.org/officeDocument/2006/relationships/hyperlink" Target="https://lmi.dua.eol.mass.gov/lmi/EmploymentAndWages" TargetMode="External"/><Relationship Id="rId7" Type="http://schemas.openxmlformats.org/officeDocument/2006/relationships/hyperlink" Target="https://www.pnas.org/doi/full/10.1073/pnas.2105804118" TargetMode="External"/><Relationship Id="rId12" Type="http://schemas.openxmlformats.org/officeDocument/2006/relationships/hyperlink" Target="https://www.eia.gov/consumption/manufacturing/data/2018/" TargetMode="External"/><Relationship Id="rId2" Type="http://schemas.openxmlformats.org/officeDocument/2006/relationships/hyperlink" Target="https://datacommon.mapc.org/browser/datasets/211" TargetMode="External"/><Relationship Id="rId16" Type="http://schemas.openxmlformats.org/officeDocument/2006/relationships/drawing" Target="../drawings/drawing6.xml"/><Relationship Id="rId1" Type="http://schemas.openxmlformats.org/officeDocument/2006/relationships/hyperlink" Target="https://www.eia.gov/consumption/residential/data/2020/c&amp;e/pdf/ce2.1.pdf" TargetMode="External"/><Relationship Id="rId6" Type="http://schemas.openxmlformats.org/officeDocument/2006/relationships/hyperlink" Target="https://www.nrel.gov/docs/fy21osti/78540.pdf" TargetMode="External"/><Relationship Id="rId11" Type="http://schemas.openxmlformats.org/officeDocument/2006/relationships/hyperlink" Target="https://www.eia.gov/consumption/manufacturing/data/2018/" TargetMode="External"/><Relationship Id="rId5" Type="http://schemas.openxmlformats.org/officeDocument/2006/relationships/hyperlink" Target="https://www.eia.gov/consumption/commercial/data/2018/index.php?view=characteristics" TargetMode="External"/><Relationship Id="rId15" Type="http://schemas.openxmlformats.org/officeDocument/2006/relationships/printerSettings" Target="../printerSettings/printerSettings10.bin"/><Relationship Id="rId10" Type="http://schemas.openxmlformats.org/officeDocument/2006/relationships/hyperlink" Target="https://lmi.dua.eol.mass.gov/lmi/EmploymentAndWages" TargetMode="External"/><Relationship Id="rId4" Type="http://schemas.openxmlformats.org/officeDocument/2006/relationships/hyperlink" Target="https://www.eia.gov/consumption/commercial/data/2018/index.php?view=characteristics" TargetMode="External"/><Relationship Id="rId9" Type="http://schemas.openxmlformats.org/officeDocument/2006/relationships/hyperlink" Target="https://lmi.dua.eol.mass.gov/lmi/EmploymentAndWages" TargetMode="External"/><Relationship Id="rId14" Type="http://schemas.openxmlformats.org/officeDocument/2006/relationships/hyperlink" Target="https://experience.arcgis.com/experience/cbf6875974554a74823232f84f563253?src=%E2%80%B9%20Consumption%20%20%20%20%20%20Residential%20Energy%20Consumption%20Survey%20(RECS)-b1"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https://www.epa.gov/move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2.bin"/><Relationship Id="rId1" Type="http://schemas.openxmlformats.org/officeDocument/2006/relationships/hyperlink" Target="https://www.epa.gov/ghgreporting/ghg-reporting-program-data-sets"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fueleconomy.gov/feg/noframes/39860.shtml" TargetMode="External"/><Relationship Id="rId3" Type="http://schemas.openxmlformats.org/officeDocument/2006/relationships/hyperlink" Target="https://www.fueleconomy.gov/feg/Find.do?action=sbs&amp;id=39190" TargetMode="External"/><Relationship Id="rId7" Type="http://schemas.openxmlformats.org/officeDocument/2006/relationships/hyperlink" Target="https://www.fueleconomy.gov/feg/Find.do?action=sbs&amp;id=39786" TargetMode="External"/><Relationship Id="rId2" Type="http://schemas.openxmlformats.org/officeDocument/2006/relationships/hyperlink" Target="https://www.fueleconomy.gov/feg/Find.do?action=sbs&amp;id=39882" TargetMode="External"/><Relationship Id="rId1" Type="http://schemas.openxmlformats.org/officeDocument/2006/relationships/hyperlink" Target="https://www.eia.gov/electricity/state/archive/2021/" TargetMode="External"/><Relationship Id="rId6" Type="http://schemas.openxmlformats.org/officeDocument/2006/relationships/hyperlink" Target="https://www.fueleconomy.gov/feg/noframes/39840.shtml" TargetMode="External"/><Relationship Id="rId5" Type="http://schemas.openxmlformats.org/officeDocument/2006/relationships/hyperlink" Target="https://www.fueleconomy.gov/feg/PowerSearch.do?action=noform&amp;path=1&amp;year1=2018&amp;year2=2018&amp;make=Tesla&amp;baseModel=Model%203&amp;srchtyp=ymm" TargetMode="External"/><Relationship Id="rId10" Type="http://schemas.openxmlformats.org/officeDocument/2006/relationships/drawing" Target="../drawings/drawing9.xml"/><Relationship Id="rId4" Type="http://schemas.openxmlformats.org/officeDocument/2006/relationships/hyperlink" Target="https://fueleconomy.gov/feg/bymodel/2018_Tesla_Model_X.shtml" TargetMode="External"/><Relationship Id="rId9"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bin"/><Relationship Id="rId1" Type="http://schemas.openxmlformats.org/officeDocument/2006/relationships/hyperlink" Target="https://www.eia.gov/electricity/state/archive/2021/"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hyperlink" Target="https://ghgdata.epa.gov/ghgp/service/html/2022?id=1007753&amp;et=undefined" TargetMode="External"/><Relationship Id="rId13" Type="http://schemas.openxmlformats.org/officeDocument/2006/relationships/hyperlink" Target="https://ghgdata.epa.gov/ghgp/service/html/2022?id=1007550&amp;et=undefined" TargetMode="External"/><Relationship Id="rId3" Type="http://schemas.openxmlformats.org/officeDocument/2006/relationships/hyperlink" Target="https://ghgdata.epa.gov/ghgp/service/html/2022?id=1002593&amp;et=undefined" TargetMode="External"/><Relationship Id="rId7" Type="http://schemas.openxmlformats.org/officeDocument/2006/relationships/hyperlink" Target="https://ghgdata.epa.gov/ghgp/service/html/2022?id=1005254&amp;et=undefined" TargetMode="External"/><Relationship Id="rId12" Type="http://schemas.openxmlformats.org/officeDocument/2006/relationships/hyperlink" Target="https://ghgdata.epa.gov/ghgp/service/html/2022?id=1010391&amp;et=undefined" TargetMode="External"/><Relationship Id="rId2" Type="http://schemas.openxmlformats.org/officeDocument/2006/relationships/hyperlink" Target="https://www.mass.gov/guides/solid-waste-master-plan" TargetMode="External"/><Relationship Id="rId16" Type="http://schemas.openxmlformats.org/officeDocument/2006/relationships/drawing" Target="../drawings/drawing11.xml"/><Relationship Id="rId1" Type="http://schemas.openxmlformats.org/officeDocument/2006/relationships/hyperlink" Target="https://www.mass.gov/guides/solid-waste-master-plan" TargetMode="External"/><Relationship Id="rId6" Type="http://schemas.openxmlformats.org/officeDocument/2006/relationships/hyperlink" Target="https://ghgdata.epa.gov/ghgp/service/html/2022?id=1003587&amp;et=undefined" TargetMode="External"/><Relationship Id="rId11" Type="http://schemas.openxmlformats.org/officeDocument/2006/relationships/hyperlink" Target="https://ghgdata.epa.gov/ghgp/service/html/2022?id=1005715&amp;et=undefined" TargetMode="External"/><Relationship Id="rId5" Type="http://schemas.openxmlformats.org/officeDocument/2006/relationships/hyperlink" Target="https://ghgdata.epa.gov/ghgp/service/html/2022?id=1007669&amp;et=undefined" TargetMode="External"/><Relationship Id="rId15" Type="http://schemas.openxmlformats.org/officeDocument/2006/relationships/printerSettings" Target="../printerSettings/printerSettings17.bin"/><Relationship Id="rId10" Type="http://schemas.openxmlformats.org/officeDocument/2006/relationships/hyperlink" Target="https://ghgdata.epa.gov/ghgp/service/html/2022?id=1003532&amp;et=undefined" TargetMode="External"/><Relationship Id="rId4" Type="http://schemas.openxmlformats.org/officeDocument/2006/relationships/hyperlink" Target="https://ghgdata.epa.gov/ghgp/service/html/2022?id=1007685&amp;et=undefined" TargetMode="External"/><Relationship Id="rId9" Type="http://schemas.openxmlformats.org/officeDocument/2006/relationships/hyperlink" Target="https://ghgdata.epa.gov/ghgp/service/html/2022?id=1004557&amp;et=undefined" TargetMode="External"/><Relationship Id="rId14" Type="http://schemas.openxmlformats.org/officeDocument/2006/relationships/hyperlink" Target="https://ghgdata.epa.gov/ghgp/service/html/2022?id=1005213&amp;et=undefined"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8.bin"/><Relationship Id="rId1" Type="http://schemas.openxmlformats.org/officeDocument/2006/relationships/hyperlink" Target="https://www.mass.gov/guides/solid-waste-master-plan"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http://www.ipcc-nggip.iges.or.jp/public/2006gl/pdf/5_Volume5/V5_2_Ch2_Waste_Data.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datacommon.mapc.org/browser/datasets/410" TargetMode="External"/><Relationship Id="rId13" Type="http://schemas.openxmlformats.org/officeDocument/2006/relationships/hyperlink" Target="https://data.census.gov/cedsci/" TargetMode="External"/><Relationship Id="rId18" Type="http://schemas.openxmlformats.org/officeDocument/2006/relationships/printerSettings" Target="../printerSettings/printerSettings2.bin"/><Relationship Id="rId3" Type="http://schemas.openxmlformats.org/officeDocument/2006/relationships/hyperlink" Target="https://datacommon.mapc.org/browser/datasets/211" TargetMode="External"/><Relationship Id="rId7" Type="http://schemas.openxmlformats.org/officeDocument/2006/relationships/hyperlink" Target="https://www.massenergyinsight.net/home" TargetMode="External"/><Relationship Id="rId12" Type="http://schemas.openxmlformats.org/officeDocument/2006/relationships/hyperlink" Target="https://lmi.dua.eol.mass.gov/lmi/employmentandwages" TargetMode="External"/><Relationship Id="rId17" Type="http://schemas.openxmlformats.org/officeDocument/2006/relationships/hyperlink" Target="https://www.mass.gov/lists/recycling-solid-waste-data-for-massachusetts-cities-towns" TargetMode="External"/><Relationship Id="rId2" Type="http://schemas.openxmlformats.org/officeDocument/2006/relationships/hyperlink" Target="https://www.masssavedata.com/public/home" TargetMode="External"/><Relationship Id="rId16" Type="http://schemas.openxmlformats.org/officeDocument/2006/relationships/hyperlink" Target="https://www.mass.gov/lists/recycling-solid-waste-data-for-massachusetts-cities-towns" TargetMode="External"/><Relationship Id="rId1" Type="http://schemas.openxmlformats.org/officeDocument/2006/relationships/hyperlink" Target="https://lmi.dua.eol.mass.gov/lmi/EmploymentAndWages" TargetMode="External"/><Relationship Id="rId6" Type="http://schemas.openxmlformats.org/officeDocument/2006/relationships/hyperlink" Target="https://datacommon.mapc.org/browser/datasets/483" TargetMode="External"/><Relationship Id="rId11" Type="http://schemas.openxmlformats.org/officeDocument/2006/relationships/hyperlink" Target="https://data.census.gov/cedsci/" TargetMode="External"/><Relationship Id="rId5" Type="http://schemas.openxmlformats.org/officeDocument/2006/relationships/hyperlink" Target="https://datacommon.mapc.org/browser/datasets/316" TargetMode="External"/><Relationship Id="rId15" Type="http://schemas.openxmlformats.org/officeDocument/2006/relationships/hyperlink" Target="https://www.mapc.org/our-work/expertise/data-services/" TargetMode="External"/><Relationship Id="rId10" Type="http://schemas.openxmlformats.org/officeDocument/2006/relationships/hyperlink" Target="https://datacommon.mapc.org/browser/datasets/481" TargetMode="External"/><Relationship Id="rId19" Type="http://schemas.openxmlformats.org/officeDocument/2006/relationships/drawing" Target="../drawings/drawing2.xml"/><Relationship Id="rId4" Type="http://schemas.openxmlformats.org/officeDocument/2006/relationships/hyperlink" Target="https://datacommon.mapc.org/browser/datasets/191" TargetMode="External"/><Relationship Id="rId9" Type="http://schemas.openxmlformats.org/officeDocument/2006/relationships/hyperlink" Target="https://lmi.dua.eol.mass.gov/lmi/employmentandwages" TargetMode="External"/><Relationship Id="rId14" Type="http://schemas.openxmlformats.org/officeDocument/2006/relationships/hyperlink" Target="https://datacommon.mapc.org/browser/datasets/408?max=200&amp;min=150"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mass.gov/service-details/annual-compliance-information-for-retail-electric-suppliers" TargetMode="External"/><Relationship Id="rId13" Type="http://schemas.openxmlformats.org/officeDocument/2006/relationships/hyperlink" Target="https://datacommon.mapc.org/browser/datasets/409" TargetMode="External"/><Relationship Id="rId3" Type="http://schemas.openxmlformats.org/officeDocument/2006/relationships/hyperlink" Target="https://www.eia.gov/electricity/state/archive/2022/massachusetts/" TargetMode="External"/><Relationship Id="rId7" Type="http://schemas.openxmlformats.org/officeDocument/2006/relationships/hyperlink" Target="https://ghgprotocol.org/sites/default/files/2024-08/Global-Warming-Potential-Values%20%28August%202024%29.pdf" TargetMode="External"/><Relationship Id="rId12" Type="http://schemas.openxmlformats.org/officeDocument/2006/relationships/hyperlink" Target="https://www.maine.gov/dep/air/mobile/vehicle-data.html" TargetMode="External"/><Relationship Id="rId2" Type="http://schemas.openxmlformats.org/officeDocument/2006/relationships/hyperlink" Target="https://www.mass.gov/lists/massachusetts-greenhouse-gas-ghg-reporting-program-data" TargetMode="External"/><Relationship Id="rId1" Type="http://schemas.openxmlformats.org/officeDocument/2006/relationships/hyperlink" Target="https://www.mass.gov/lists/massachusetts-greenhouse-gas-ghg-reporting-program-data" TargetMode="External"/><Relationship Id="rId6" Type="http://schemas.openxmlformats.org/officeDocument/2006/relationships/hyperlink" Target="https://www.epa.gov/climateleadership/ghg-emission-factors-hub" TargetMode="External"/><Relationship Id="rId11" Type="http://schemas.openxmlformats.org/officeDocument/2006/relationships/hyperlink" Target="https://www.mass.gov/lists/massdep-emissions-inventories?_gl=1*18iglh6*_ga*ODYxMDQ2NzQ2LjE2ODI5NDE5MjI.*_ga_MCLPEGW7WM*MTcwOTczMDI5My4xMzUuMC4xNzA5NzMwMjkzLjAuMC4w" TargetMode="External"/><Relationship Id="rId5" Type="http://schemas.openxmlformats.org/officeDocument/2006/relationships/hyperlink" Target="https://www.epa.gov/climateleadership/center-corporate-climate-leadership-ghg-emission-factors-hub" TargetMode="External"/><Relationship Id="rId10" Type="http://schemas.openxmlformats.org/officeDocument/2006/relationships/hyperlink" Target="https://www.fueleconomy.gov/feg/make.shtml" TargetMode="External"/><Relationship Id="rId4" Type="http://schemas.openxmlformats.org/officeDocument/2006/relationships/hyperlink" Target="https://www.mass.gov/guides/solid-waste-master-plan" TargetMode="External"/><Relationship Id="rId9" Type="http://schemas.openxmlformats.org/officeDocument/2006/relationships/hyperlink" Target="https://mor-ev.org/statistics" TargetMode="External"/><Relationship Id="rId1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epa.gov/ghgemissions/natural-gas-and-petroleum-systems-ghg-inventory-additional-information-1990-2021-ghg" TargetMode="External"/><Relationship Id="rId13" Type="http://schemas.openxmlformats.org/officeDocument/2006/relationships/hyperlink" Target="https://www.maine.gov/dep/air/mobile/vehicle-data.html" TargetMode="External"/><Relationship Id="rId3" Type="http://schemas.openxmlformats.org/officeDocument/2006/relationships/hyperlink" Target="https://www.mass.gov/lists/massachusetts-greenhouse-gas-ghg-reporting-program-data" TargetMode="External"/><Relationship Id="rId7" Type="http://schemas.openxmlformats.org/officeDocument/2006/relationships/hyperlink" Target="https://www.mass.gov/lists/massachusetts-greenhouse-gas-ghg-reporting-program-data" TargetMode="External"/><Relationship Id="rId12" Type="http://schemas.openxmlformats.org/officeDocument/2006/relationships/hyperlink" Target="https://www.epa.gov/climateleadership/ghg-emission-factors-hub" TargetMode="External"/><Relationship Id="rId17" Type="http://schemas.openxmlformats.org/officeDocument/2006/relationships/drawing" Target="../drawings/drawing5.xml"/><Relationship Id="rId2" Type="http://schemas.openxmlformats.org/officeDocument/2006/relationships/hyperlink" Target="https://www.epa.gov/climateleadership/center-corporate-climate-leadership-ghg-emission-factors-hub" TargetMode="External"/><Relationship Id="rId16" Type="http://schemas.openxmlformats.org/officeDocument/2006/relationships/printerSettings" Target="../printerSettings/printerSettings8.bin"/><Relationship Id="rId1" Type="http://schemas.openxmlformats.org/officeDocument/2006/relationships/hyperlink" Target="https://www.epa.gov/ghgemissions/natural-gas-and-petroleum-systems-ghg-inventory-additional-information-1990-2021-ghg" TargetMode="External"/><Relationship Id="rId6" Type="http://schemas.openxmlformats.org/officeDocument/2006/relationships/hyperlink" Target="https://www.epa.gov/climateleadership/ghg-emission-factors-hub" TargetMode="External"/><Relationship Id="rId11" Type="http://schemas.openxmlformats.org/officeDocument/2006/relationships/hyperlink" Target="https://www.mass.gov/lists/massachusetts-greenhouse-gas-ghg-reporting-program-data" TargetMode="External"/><Relationship Id="rId5" Type="http://schemas.openxmlformats.org/officeDocument/2006/relationships/hyperlink" Target="https://ghgprotocol.org/potential-emissions-fossil-fuel-reserves" TargetMode="External"/><Relationship Id="rId15" Type="http://schemas.openxmlformats.org/officeDocument/2006/relationships/hyperlink" Target="https://ghgprotocol.org/sites/default/files/2024-08/Global-Warming-Potential-Values%20%28August%202024%29.pdf" TargetMode="External"/><Relationship Id="rId10" Type="http://schemas.openxmlformats.org/officeDocument/2006/relationships/hyperlink" Target="https://www.mass.gov/lists/massachusetts-greenhouse-gas-ghg-reporting-program-data" TargetMode="External"/><Relationship Id="rId4" Type="http://schemas.openxmlformats.org/officeDocument/2006/relationships/hyperlink" Target="https://www.mass.gov/service-details/program-summaries" TargetMode="External"/><Relationship Id="rId9" Type="http://schemas.openxmlformats.org/officeDocument/2006/relationships/hyperlink" Target="https://www.mass.gov/lists/massachusetts-greenhouse-gas-ghg-reporting-program-data" TargetMode="External"/><Relationship Id="rId14" Type="http://schemas.openxmlformats.org/officeDocument/2006/relationships/hyperlink" Target="https://www.epa.gov/climateleadership/ghg-emission-factors-hub"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4:M47"/>
  <sheetViews>
    <sheetView showGridLines="0" zoomScale="110" zoomScaleNormal="110" workbookViewId="0">
      <selection activeCell="P23" sqref="P23"/>
    </sheetView>
  </sheetViews>
  <sheetFormatPr defaultColWidth="8.85546875" defaultRowHeight="13.15"/>
  <cols>
    <col min="1" max="1" width="2.42578125" style="4" customWidth="1"/>
    <col min="2" max="2" width="8.85546875" style="4" customWidth="1"/>
    <col min="3" max="16384" width="8.85546875" style="4"/>
  </cols>
  <sheetData>
    <row r="4" spans="2:11" ht="23.45" customHeight="1">
      <c r="B4" s="1663" t="s">
        <v>0</v>
      </c>
      <c r="C4" s="1663"/>
      <c r="D4" s="1663"/>
      <c r="E4" s="1663"/>
      <c r="F4" s="1663"/>
      <c r="G4" s="1663"/>
      <c r="H4" s="1663"/>
      <c r="I4" s="1663"/>
      <c r="J4" s="1663"/>
      <c r="K4" s="1663"/>
    </row>
    <row r="5" spans="2:11" ht="23.45" customHeight="1">
      <c r="B5" s="1663"/>
      <c r="C5" s="1663"/>
      <c r="D5" s="1663"/>
      <c r="E5" s="1663"/>
      <c r="F5" s="1663"/>
      <c r="G5" s="1663"/>
      <c r="H5" s="1663"/>
      <c r="I5" s="1663"/>
      <c r="J5" s="1663"/>
      <c r="K5" s="1663"/>
    </row>
    <row r="39" spans="2:13">
      <c r="B39"/>
      <c r="C39"/>
      <c r="D39"/>
      <c r="E39"/>
      <c r="F39"/>
      <c r="G39"/>
      <c r="H39"/>
      <c r="I39"/>
      <c r="J39"/>
      <c r="K39"/>
      <c r="L39"/>
      <c r="M39"/>
    </row>
    <row r="40" spans="2:13" ht="15" customHeight="1">
      <c r="B40"/>
      <c r="C40"/>
      <c r="D40"/>
      <c r="E40"/>
      <c r="F40" s="2112"/>
      <c r="G40" s="2112"/>
      <c r="H40" s="2112"/>
      <c r="I40" s="2112"/>
      <c r="J40" s="2112"/>
      <c r="K40" s="2112"/>
      <c r="L40" s="2112"/>
      <c r="M40" s="2112"/>
    </row>
    <row r="41" spans="2:13" ht="15" customHeight="1">
      <c r="B41"/>
      <c r="C41"/>
      <c r="D41"/>
      <c r="E41"/>
      <c r="F41" s="2112"/>
      <c r="G41" s="2112"/>
      <c r="H41" s="2112"/>
      <c r="I41" s="2112"/>
      <c r="J41" s="2112"/>
      <c r="K41" s="2112"/>
      <c r="L41" s="2112"/>
      <c r="M41" s="2112"/>
    </row>
    <row r="42" spans="2:13" ht="15" customHeight="1">
      <c r="B42"/>
      <c r="C42"/>
      <c r="D42"/>
      <c r="E42"/>
      <c r="F42" s="2112"/>
      <c r="G42" s="2112"/>
      <c r="H42" s="2112"/>
      <c r="I42" s="2112"/>
      <c r="J42" s="2112"/>
      <c r="K42" s="2112"/>
      <c r="L42" s="2112"/>
      <c r="M42" s="2112"/>
    </row>
    <row r="43" spans="2:13" ht="15" customHeight="1">
      <c r="B43"/>
      <c r="C43"/>
      <c r="D43"/>
      <c r="E43"/>
      <c r="F43" s="2112"/>
      <c r="G43" s="2112"/>
      <c r="H43" s="2112"/>
      <c r="I43" s="2112"/>
      <c r="J43" s="2112"/>
      <c r="K43" s="2112"/>
      <c r="L43" s="2112"/>
      <c r="M43" s="2112"/>
    </row>
    <row r="44" spans="2:13" ht="16.149999999999999" customHeight="1">
      <c r="B44"/>
      <c r="C44"/>
      <c r="D44"/>
      <c r="E44"/>
      <c r="F44" s="2112"/>
      <c r="G44" s="2112"/>
      <c r="H44" s="2112"/>
      <c r="I44" s="2112"/>
      <c r="J44" s="2112"/>
      <c r="K44" s="2112"/>
      <c r="L44" s="2112"/>
      <c r="M44" s="2112"/>
    </row>
    <row r="45" spans="2:13" ht="15" customHeight="1">
      <c r="B45"/>
      <c r="C45"/>
      <c r="D45"/>
      <c r="E45"/>
      <c r="F45" s="2112"/>
      <c r="G45" s="2112"/>
      <c r="H45" s="2112"/>
      <c r="I45" s="2112"/>
      <c r="J45" s="2112"/>
      <c r="K45" s="2112"/>
      <c r="L45" s="2112"/>
      <c r="M45" s="2112"/>
    </row>
    <row r="46" spans="2:13" ht="17.45" customHeight="1">
      <c r="B46"/>
      <c r="C46"/>
      <c r="D46"/>
      <c r="E46"/>
      <c r="F46" s="2112"/>
      <c r="G46" s="2112"/>
      <c r="H46" s="2112"/>
      <c r="I46" s="2112"/>
      <c r="J46" s="2112"/>
      <c r="K46" s="2112"/>
      <c r="L46" s="2112"/>
      <c r="M46" s="2112"/>
    </row>
    <row r="47" spans="2:13">
      <c r="B47"/>
      <c r="C47"/>
      <c r="D47"/>
      <c r="E47"/>
      <c r="F47"/>
      <c r="G47"/>
      <c r="H47"/>
      <c r="I47"/>
      <c r="J47"/>
      <c r="K47"/>
      <c r="L47"/>
      <c r="M47"/>
    </row>
  </sheetData>
  <mergeCells count="8">
    <mergeCell ref="F46:M46"/>
    <mergeCell ref="F43:M43"/>
    <mergeCell ref="F44:M44"/>
    <mergeCell ref="B4:K5"/>
    <mergeCell ref="F42:M42"/>
    <mergeCell ref="F40:M40"/>
    <mergeCell ref="F41:M41"/>
    <mergeCell ref="F45:M4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39997558519241921"/>
  </sheetPr>
  <dimension ref="A1:CE599"/>
  <sheetViews>
    <sheetView showGridLines="0" zoomScaleNormal="100" workbookViewId="0"/>
  </sheetViews>
  <sheetFormatPr defaultColWidth="9.140625" defaultRowHeight="13.15"/>
  <cols>
    <col min="1" max="1" width="2.5703125" style="1" customWidth="1"/>
    <col min="2" max="2" width="40" style="1" customWidth="1"/>
    <col min="3" max="3" width="37.28515625" style="1" customWidth="1"/>
    <col min="4" max="4" width="39.85546875" style="1" customWidth="1"/>
    <col min="5" max="5" width="40.85546875" style="1" customWidth="1"/>
    <col min="6" max="9" width="20.5703125" style="1" customWidth="1"/>
    <col min="10" max="10" width="22.85546875" style="1" bestFit="1" customWidth="1"/>
    <col min="11" max="11" width="17.42578125" style="1" customWidth="1"/>
    <col min="12" max="15" width="14" style="1" customWidth="1"/>
    <col min="16" max="16" width="12.140625" style="1" customWidth="1"/>
    <col min="17" max="17" width="10.85546875" style="1" customWidth="1"/>
    <col min="18" max="18" width="16" style="1" customWidth="1"/>
    <col min="19" max="19" width="14.85546875" style="1" customWidth="1"/>
    <col min="20" max="20" width="9.28515625" style="1" customWidth="1"/>
    <col min="21" max="21" width="14" style="1" customWidth="1"/>
    <col min="22" max="22" width="9.28515625" style="1" customWidth="1"/>
    <col min="23" max="23" width="14.28515625" style="1" hidden="1" customWidth="1"/>
    <col min="24" max="24" width="12.5703125" style="1" customWidth="1"/>
    <col min="25" max="25" width="16" style="1" customWidth="1"/>
    <col min="26" max="26" width="10.140625" style="1" customWidth="1"/>
    <col min="27" max="28" width="9.140625" style="1" customWidth="1"/>
    <col min="29" max="29" width="12.42578125" style="1" customWidth="1"/>
    <col min="30" max="30" width="9.28515625" style="1" customWidth="1"/>
    <col min="31" max="33" width="9.140625" style="1" customWidth="1"/>
    <col min="34" max="34" width="12" style="1" customWidth="1"/>
    <col min="35" max="35" width="10.85546875" style="1" customWidth="1"/>
    <col min="36" max="36" width="10.5703125" style="1" customWidth="1"/>
    <col min="37" max="37" width="10.7109375" style="1" customWidth="1"/>
    <col min="38" max="38" width="9.140625" style="1" customWidth="1"/>
    <col min="39" max="42" width="9.140625" style="9"/>
    <col min="43" max="43" width="31.7109375" style="9" customWidth="1"/>
    <col min="44" max="44" width="14" style="9" customWidth="1"/>
    <col min="45" max="45" width="16.140625" style="9" customWidth="1"/>
    <col min="46" max="46" width="16.5703125" style="9" customWidth="1"/>
    <col min="47" max="49" width="14.85546875" style="9" customWidth="1"/>
    <col min="50" max="50" width="13.28515625" style="9" customWidth="1"/>
    <col min="51" max="51" width="14.85546875" style="9" customWidth="1"/>
    <col min="52" max="83" width="9.140625" style="9"/>
    <col min="84" max="16384" width="9.140625" style="1"/>
  </cols>
  <sheetData>
    <row r="1" spans="1:12" ht="15" thickBot="1">
      <c r="A1" s="26"/>
      <c r="B1" s="26"/>
      <c r="C1" s="27"/>
      <c r="D1" s="27"/>
      <c r="E1" s="27"/>
      <c r="F1" s="30"/>
      <c r="G1" s="30"/>
      <c r="H1" s="30"/>
      <c r="I1" s="30"/>
      <c r="J1" s="30"/>
      <c r="K1" s="30"/>
      <c r="L1" s="482"/>
    </row>
    <row r="2" spans="1:12" s="9" customFormat="1" ht="23.45" thickBot="1">
      <c r="A2" s="30"/>
      <c r="B2" s="1915" t="s">
        <v>997</v>
      </c>
      <c r="C2" s="1916"/>
      <c r="D2" s="1916"/>
      <c r="E2" s="1670"/>
      <c r="F2" s="43"/>
      <c r="G2" s="43"/>
      <c r="H2" s="42"/>
      <c r="I2" s="42"/>
      <c r="J2" s="65"/>
      <c r="K2" s="30"/>
      <c r="L2" s="30"/>
    </row>
    <row r="3" spans="1:12" s="9" customFormat="1" ht="13.5" customHeight="1">
      <c r="A3" s="30"/>
      <c r="B3" s="135" t="s">
        <v>373</v>
      </c>
      <c r="C3" s="1940" t="s">
        <v>384</v>
      </c>
      <c r="D3" s="1970"/>
      <c r="E3" s="1971"/>
      <c r="F3" s="43"/>
      <c r="G3" s="43"/>
      <c r="H3" s="42"/>
      <c r="I3" s="42"/>
      <c r="J3" s="65"/>
      <c r="K3" s="30"/>
      <c r="L3" s="30"/>
    </row>
    <row r="4" spans="1:12" s="9" customFormat="1" ht="13.5" customHeight="1" thickBot="1">
      <c r="A4" s="30"/>
      <c r="B4" s="136" t="s">
        <v>998</v>
      </c>
      <c r="C4" s="1972" t="s">
        <v>999</v>
      </c>
      <c r="D4" s="1827"/>
      <c r="E4" s="1828"/>
      <c r="F4" s="43"/>
      <c r="G4" s="43"/>
      <c r="H4" s="42"/>
      <c r="I4" s="42"/>
      <c r="J4" s="65"/>
      <c r="K4" s="30"/>
      <c r="L4" s="30"/>
    </row>
    <row r="5" spans="1:12" s="9" customFormat="1" ht="17.25" customHeight="1" thickBot="1">
      <c r="A5" s="30"/>
      <c r="B5" s="43"/>
      <c r="C5" s="43"/>
      <c r="D5" s="43"/>
      <c r="E5" s="43"/>
      <c r="F5" s="43"/>
      <c r="G5" s="43"/>
      <c r="H5" s="42"/>
      <c r="I5" s="42"/>
      <c r="J5" s="65"/>
      <c r="K5" s="30"/>
      <c r="L5" s="30"/>
    </row>
    <row r="6" spans="1:12" s="9" customFormat="1" ht="19.5" customHeight="1" thickBot="1">
      <c r="A6" s="30"/>
      <c r="B6" s="1664" t="s">
        <v>377</v>
      </c>
      <c r="C6" s="1964"/>
      <c r="D6" s="1964"/>
      <c r="E6" s="1965"/>
      <c r="F6" s="43"/>
      <c r="G6" s="43"/>
      <c r="H6" s="42"/>
      <c r="I6" s="42"/>
      <c r="J6" s="65"/>
      <c r="K6" s="30"/>
      <c r="L6" s="30"/>
    </row>
    <row r="7" spans="1:12" s="9" customFormat="1" ht="69" customHeight="1" thickBot="1">
      <c r="A7" s="30"/>
      <c r="B7" s="1807" t="s">
        <v>1000</v>
      </c>
      <c r="C7" s="1962"/>
      <c r="D7" s="1962"/>
      <c r="E7" s="1963"/>
      <c r="F7" s="26"/>
      <c r="G7" s="26"/>
      <c r="H7" s="25"/>
      <c r="I7" s="25"/>
      <c r="J7" s="26"/>
      <c r="K7" s="26"/>
      <c r="L7" s="26"/>
    </row>
    <row r="8" spans="1:12" s="9" customFormat="1" ht="13.5" customHeight="1" thickBot="1">
      <c r="A8" s="30"/>
      <c r="B8" s="10"/>
      <c r="C8" s="10"/>
      <c r="D8" s="10"/>
      <c r="E8" s="10"/>
      <c r="F8" s="10"/>
      <c r="G8" s="10"/>
      <c r="H8" s="10"/>
      <c r="I8" s="10"/>
      <c r="J8" s="30"/>
      <c r="K8" s="30"/>
      <c r="L8" s="30"/>
    </row>
    <row r="9" spans="1:12" s="9" customFormat="1" ht="15" customHeight="1" thickBot="1">
      <c r="A9" s="30"/>
      <c r="B9" s="1710" t="s">
        <v>1001</v>
      </c>
      <c r="C9" s="1711"/>
      <c r="D9" s="1711"/>
      <c r="E9" s="1711"/>
      <c r="F9" s="1711"/>
      <c r="G9" s="1711"/>
      <c r="H9" s="1711"/>
      <c r="I9" s="1712"/>
      <c r="J9" s="30"/>
      <c r="K9" s="30"/>
      <c r="L9" s="30"/>
    </row>
    <row r="10" spans="1:12" s="9" customFormat="1" ht="48" customHeight="1" thickBot="1">
      <c r="A10" s="30"/>
      <c r="B10" s="52" t="s">
        <v>396</v>
      </c>
      <c r="C10" s="53" t="s">
        <v>1002</v>
      </c>
      <c r="D10" s="79" t="s">
        <v>919</v>
      </c>
      <c r="E10" s="79" t="s">
        <v>1003</v>
      </c>
      <c r="F10" s="75" t="s">
        <v>920</v>
      </c>
      <c r="G10" s="79" t="s">
        <v>1004</v>
      </c>
      <c r="H10" s="79" t="s">
        <v>922</v>
      </c>
      <c r="I10" s="80" t="s">
        <v>1005</v>
      </c>
      <c r="J10" s="30"/>
      <c r="K10" s="30"/>
      <c r="L10" s="30"/>
    </row>
    <row r="11" spans="1:12" s="9" customFormat="1">
      <c r="A11" s="30"/>
      <c r="B11" s="1966" t="s">
        <v>397</v>
      </c>
      <c r="C11" s="50" t="s">
        <v>981</v>
      </c>
      <c r="D11" s="730">
        <f>(Inputs!C32*'Emission Factors'!$D$140)-'Stationary Energy - Buildings'!D12</f>
        <v>0</v>
      </c>
      <c r="E11" s="730">
        <f>Inputs!D32</f>
        <v>0</v>
      </c>
      <c r="F11" s="615">
        <f>D11*'Emission Factors'!$G$38</f>
        <v>0</v>
      </c>
      <c r="G11" s="456">
        <f>D11*'Emission Factors'!$H$38</f>
        <v>0</v>
      </c>
      <c r="H11" s="615">
        <f>D11*'Emission Factors'!$I$38</f>
        <v>0</v>
      </c>
      <c r="I11" s="623">
        <f>E11*'Emission Factors'!$D$10</f>
        <v>0</v>
      </c>
      <c r="J11" s="30"/>
      <c r="K11" s="30"/>
      <c r="L11" s="30"/>
    </row>
    <row r="12" spans="1:12" s="9" customFormat="1">
      <c r="A12" s="30"/>
      <c r="B12" s="1967"/>
      <c r="C12" s="454" t="s">
        <v>982</v>
      </c>
      <c r="D12" s="731">
        <f>Inputs!D50</f>
        <v>0</v>
      </c>
      <c r="E12" s="738"/>
      <c r="F12" s="616" t="e">
        <f>D12*'Emission Factors'!$L$60</f>
        <v>#DIV/0!</v>
      </c>
      <c r="G12" s="454" t="e">
        <f>D12*'Emission Factors'!$M$60</f>
        <v>#DIV/0!</v>
      </c>
      <c r="H12" s="616" t="e">
        <f>D12*'Emission Factors'!$N$60</f>
        <v>#DIV/0!</v>
      </c>
      <c r="I12" s="734"/>
      <c r="J12" s="30"/>
      <c r="K12" s="30"/>
      <c r="L12" s="30"/>
    </row>
    <row r="13" spans="1:12" s="9" customFormat="1">
      <c r="A13" s="30"/>
      <c r="B13" s="1968"/>
      <c r="C13" s="239" t="s">
        <v>983</v>
      </c>
      <c r="D13" s="732">
        <f>Inputs!C61</f>
        <v>0</v>
      </c>
      <c r="E13" s="732">
        <f>Inputs!D61</f>
        <v>0</v>
      </c>
      <c r="F13" s="617">
        <f>D13*'Emission Factors'!$G$67</f>
        <v>0</v>
      </c>
      <c r="G13" s="239">
        <f>D13*'Emission Factors'!$H$67</f>
        <v>0</v>
      </c>
      <c r="H13" s="617">
        <f>D13*'Emission Factors'!$I$67</f>
        <v>0</v>
      </c>
      <c r="I13" s="1077">
        <f>E13*'Emission Factors'!$D$10</f>
        <v>0</v>
      </c>
      <c r="J13" s="30"/>
      <c r="K13" s="30"/>
      <c r="L13" s="30"/>
    </row>
    <row r="14" spans="1:12" s="9" customFormat="1">
      <c r="A14" s="30"/>
      <c r="B14" s="1968"/>
      <c r="C14" s="239" t="s">
        <v>985</v>
      </c>
      <c r="D14" s="239">
        <f>-F232</f>
        <v>0</v>
      </c>
      <c r="E14" s="737"/>
      <c r="F14" s="618" t="e">
        <f>$D14*'Emission Factors'!G119</f>
        <v>#DIV/0!</v>
      </c>
      <c r="G14" s="619" t="e">
        <f>$D14*'Emission Factors'!H119</f>
        <v>#DIV/0!</v>
      </c>
      <c r="H14" s="618" t="e">
        <f>$D14*'Emission Factors'!I119</f>
        <v>#DIV/0!</v>
      </c>
      <c r="I14" s="735"/>
      <c r="J14" s="30"/>
      <c r="K14" s="30"/>
      <c r="L14" s="30"/>
    </row>
    <row r="15" spans="1:12" s="9" customFormat="1" ht="13.9" thickBot="1">
      <c r="A15" s="30"/>
      <c r="B15" s="1969"/>
      <c r="C15" s="1399" t="s">
        <v>1006</v>
      </c>
      <c r="D15" s="1399">
        <f>SUM(D11:D14)</f>
        <v>0</v>
      </c>
      <c r="E15" s="1399">
        <f>SUM(E11:E14)</f>
        <v>0</v>
      </c>
      <c r="F15" s="1400">
        <f>SUMIF(F11:F14,"&lt;&gt;#DIV/0!",F11:F14)</f>
        <v>0</v>
      </c>
      <c r="G15" s="1400">
        <f>SUMIF(G11:G14,"&lt;&gt;#DIV/0!",G11:G14)</f>
        <v>0</v>
      </c>
      <c r="H15" s="1400">
        <f>SUMIF(H11:H14,"&lt;&gt;#DIV/0!",H11:H14)</f>
        <v>0</v>
      </c>
      <c r="I15" s="1401">
        <f>SUM(I11:I14)</f>
        <v>0</v>
      </c>
      <c r="J15" s="30"/>
      <c r="K15" s="30"/>
      <c r="L15" s="30"/>
    </row>
    <row r="16" spans="1:12" s="9" customFormat="1">
      <c r="A16" s="30"/>
      <c r="B16" s="1966" t="s">
        <v>414</v>
      </c>
      <c r="C16" s="50" t="s">
        <v>987</v>
      </c>
      <c r="D16" s="733">
        <f>(Inputs!C33*'Emission Factors'!$D$140)-'Stationary Energy - Buildings'!D17</f>
        <v>0</v>
      </c>
      <c r="E16" s="731">
        <f>Inputs!D33</f>
        <v>0</v>
      </c>
      <c r="F16" s="620">
        <f>D16*'Emission Factors'!$G$38</f>
        <v>0</v>
      </c>
      <c r="G16" s="453">
        <f>D16*'Emission Factors'!$H$38</f>
        <v>0</v>
      </c>
      <c r="H16" s="620">
        <f>D16*'Emission Factors'!$I$38</f>
        <v>0</v>
      </c>
      <c r="I16" s="623">
        <f>E16*'Emission Factors'!$D$10</f>
        <v>0</v>
      </c>
      <c r="J16" s="30"/>
      <c r="K16" s="30"/>
      <c r="L16" s="30"/>
    </row>
    <row r="17" spans="2:13" s="9" customFormat="1">
      <c r="B17" s="1967"/>
      <c r="C17" s="51" t="s">
        <v>988</v>
      </c>
      <c r="D17" s="732">
        <f>Inputs!D55</f>
        <v>0</v>
      </c>
      <c r="E17" s="737"/>
      <c r="F17" s="617" t="e">
        <f>D17*'Emission Factors'!$L$61</f>
        <v>#DIV/0!</v>
      </c>
      <c r="G17" s="239" t="e">
        <f>D17*'Emission Factors'!$M$61</f>
        <v>#DIV/0!</v>
      </c>
      <c r="H17" s="617" t="e">
        <f>D17*'Emission Factors'!$N$61</f>
        <v>#DIV/0!</v>
      </c>
      <c r="I17" s="734"/>
      <c r="J17" s="30"/>
      <c r="K17" s="30"/>
      <c r="L17" s="30"/>
      <c r="M17" s="30"/>
    </row>
    <row r="18" spans="2:13" s="9" customFormat="1">
      <c r="B18" s="1968"/>
      <c r="C18" s="455" t="s">
        <v>989</v>
      </c>
      <c r="D18" s="731">
        <f>Inputs!C62</f>
        <v>0</v>
      </c>
      <c r="E18" s="731">
        <f>Inputs!D62</f>
        <v>0</v>
      </c>
      <c r="F18" s="616">
        <f>D18*'Emission Factors'!$G$67</f>
        <v>0</v>
      </c>
      <c r="G18" s="454">
        <f>D18*'Emission Factors'!$H$67</f>
        <v>0</v>
      </c>
      <c r="H18" s="616">
        <f>D18*'Emission Factors'!$I$67</f>
        <v>0</v>
      </c>
      <c r="I18" s="1077">
        <f>E18*'Emission Factors'!$D$10</f>
        <v>0</v>
      </c>
      <c r="J18" s="30"/>
      <c r="K18" s="30"/>
      <c r="L18" s="30"/>
      <c r="M18" s="30"/>
    </row>
    <row r="19" spans="2:13" s="9" customFormat="1">
      <c r="B19" s="1968"/>
      <c r="C19" s="457" t="s">
        <v>985</v>
      </c>
      <c r="D19" s="458">
        <f>-G232</f>
        <v>0</v>
      </c>
      <c r="E19" s="739"/>
      <c r="F19" s="621" t="e">
        <f>$D19*'Emission Factors'!G119</f>
        <v>#DIV/0!</v>
      </c>
      <c r="G19" s="622" t="e">
        <f>$D19*'Emission Factors'!H119</f>
        <v>#DIV/0!</v>
      </c>
      <c r="H19" s="621" t="e">
        <f>$D19*'Emission Factors'!I119</f>
        <v>#DIV/0!</v>
      </c>
      <c r="I19" s="736"/>
      <c r="J19" s="30"/>
      <c r="K19" s="30"/>
      <c r="L19" s="30"/>
      <c r="M19" s="30"/>
    </row>
    <row r="20" spans="2:13" s="9" customFormat="1" ht="13.9" thickBot="1">
      <c r="B20" s="1969"/>
      <c r="C20" s="1402" t="s">
        <v>1007</v>
      </c>
      <c r="D20" s="1399">
        <f>SUM(D16:D18)</f>
        <v>0</v>
      </c>
      <c r="E20" s="1399">
        <f>SUM(E16:E19)</f>
        <v>0</v>
      </c>
      <c r="F20" s="1400">
        <f>SUMIF(F16:F19,"&lt;&gt;#DIV/0!",F16:F19)</f>
        <v>0</v>
      </c>
      <c r="G20" s="1400">
        <f>SUMIF(G16:G19,"&lt;&gt;#DIV/0!",G16:G19)</f>
        <v>0</v>
      </c>
      <c r="H20" s="1400">
        <f>SUMIF(H16:H19,"&lt;&gt;#DIV/0!",H16:H19)</f>
        <v>0</v>
      </c>
      <c r="I20" s="1401">
        <f>SUM(I16:I19)</f>
        <v>0</v>
      </c>
      <c r="J20" s="30"/>
      <c r="K20" s="30"/>
      <c r="L20" s="30"/>
      <c r="M20" s="30"/>
    </row>
    <row r="21" spans="2:13" s="9" customFormat="1" ht="15" thickBot="1">
      <c r="B21" s="1956" t="s">
        <v>1008</v>
      </c>
      <c r="C21" s="1957"/>
      <c r="D21" s="45">
        <f t="shared" ref="D21:I21" si="0">SUM(D15,D20)</f>
        <v>0</v>
      </c>
      <c r="E21" s="45">
        <f t="shared" si="0"/>
        <v>0</v>
      </c>
      <c r="F21" s="459">
        <f t="shared" si="0"/>
        <v>0</v>
      </c>
      <c r="G21" s="49">
        <f t="shared" si="0"/>
        <v>0</v>
      </c>
      <c r="H21" s="459">
        <f t="shared" si="0"/>
        <v>0</v>
      </c>
      <c r="I21" s="49">
        <f t="shared" si="0"/>
        <v>0</v>
      </c>
      <c r="J21" s="27"/>
      <c r="K21" s="30"/>
      <c r="L21" s="30"/>
      <c r="M21" s="30"/>
    </row>
    <row r="22" spans="2:13" s="9" customFormat="1" ht="51.75" customHeight="1">
      <c r="B22" s="1958" t="s">
        <v>1009</v>
      </c>
      <c r="C22" s="1959"/>
      <c r="D22" s="1959"/>
      <c r="E22" s="1960"/>
      <c r="F22" s="26"/>
      <c r="G22" s="26"/>
      <c r="H22" s="27"/>
      <c r="I22" s="27"/>
      <c r="J22" s="27"/>
      <c r="K22" s="30"/>
      <c r="L22" s="30"/>
      <c r="M22" s="30"/>
    </row>
    <row r="23" spans="2:13" s="9" customFormat="1" ht="26.25" customHeight="1" thickBot="1">
      <c r="B23" s="1961" t="s">
        <v>1010</v>
      </c>
      <c r="C23" s="1827"/>
      <c r="D23" s="1827"/>
      <c r="E23" s="1828"/>
      <c r="F23" s="26"/>
      <c r="G23" s="26"/>
      <c r="H23" s="27"/>
      <c r="I23" s="27"/>
      <c r="J23" s="27"/>
      <c r="K23" s="30"/>
      <c r="L23" s="30"/>
      <c r="M23" s="30"/>
    </row>
    <row r="24" spans="2:13" s="9" customFormat="1" ht="15.75" customHeight="1" thickBot="1">
      <c r="B24" s="1215"/>
      <c r="C24" s="1216"/>
      <c r="D24" s="1216"/>
      <c r="E24" s="1216"/>
      <c r="F24" s="26"/>
      <c r="G24" s="26"/>
      <c r="H24" s="27"/>
      <c r="I24" s="27"/>
      <c r="J24" s="27"/>
      <c r="K24" s="30"/>
      <c r="L24" s="30"/>
      <c r="M24" s="30"/>
    </row>
    <row r="25" spans="2:13" s="9" customFormat="1" ht="15.75" customHeight="1" thickBot="1">
      <c r="B25" s="1975" t="s">
        <v>1011</v>
      </c>
      <c r="C25" s="1976"/>
      <c r="D25" s="1976"/>
      <c r="E25" s="1976"/>
      <c r="F25" s="1976"/>
      <c r="G25" s="1976"/>
      <c r="H25" s="1976"/>
      <c r="I25" s="1977"/>
      <c r="J25" s="27"/>
      <c r="K25" s="30"/>
      <c r="L25" s="30"/>
      <c r="M25" s="30"/>
    </row>
    <row r="26" spans="2:13" s="9" customFormat="1" ht="26.25" customHeight="1">
      <c r="B26" s="1217" t="s">
        <v>396</v>
      </c>
      <c r="C26" s="1472"/>
      <c r="D26" s="1218" t="s">
        <v>919</v>
      </c>
      <c r="E26" s="1218" t="s">
        <v>1003</v>
      </c>
      <c r="F26" s="1219" t="s">
        <v>920</v>
      </c>
      <c r="G26" s="1082" t="s">
        <v>1004</v>
      </c>
      <c r="H26" s="1082" t="s">
        <v>922</v>
      </c>
      <c r="I26" s="1098" t="s">
        <v>1012</v>
      </c>
      <c r="J26" s="1083" t="s">
        <v>1005</v>
      </c>
      <c r="K26" s="27"/>
      <c r="L26" s="27"/>
      <c r="M26" s="30"/>
    </row>
    <row r="27" spans="2:13" s="9" customFormat="1" ht="14.25" customHeight="1">
      <c r="B27" s="1982" t="s">
        <v>449</v>
      </c>
      <c r="C27" s="1473" t="s">
        <v>1013</v>
      </c>
      <c r="D27" s="1475">
        <f>IF(Inputs!C40="IOU",Inputs!C39,0)</f>
        <v>0</v>
      </c>
      <c r="E27" s="1475">
        <f>Inputs!D39</f>
        <v>0</v>
      </c>
      <c r="F27" s="1476">
        <f>D27*'Emission Factors'!$G$38</f>
        <v>0</v>
      </c>
      <c r="G27" s="1477">
        <f>D27*'Emission Factors'!$H$38</f>
        <v>0</v>
      </c>
      <c r="H27" s="1476">
        <f>D27*'Emission Factors'!$I$38</f>
        <v>0</v>
      </c>
      <c r="I27" s="1478">
        <f>(F27*'Emission Factors'!$B$125)+G27+(H27*'Emission Factors'!$C$125)</f>
        <v>0</v>
      </c>
      <c r="J27" s="1479">
        <f>E27*'Emission Factors'!$D$10</f>
        <v>0</v>
      </c>
      <c r="K27" s="27"/>
      <c r="L27" s="27"/>
      <c r="M27" s="30"/>
    </row>
    <row r="28" spans="2:13" s="9" customFormat="1" ht="14.25" customHeight="1">
      <c r="B28" s="1983"/>
      <c r="C28" s="1480" t="s">
        <v>1014</v>
      </c>
      <c r="D28" s="1481">
        <f>IF(Inputs!C40="CCA",Inputs!C39,0)</f>
        <v>0</v>
      </c>
      <c r="E28" s="738"/>
      <c r="F28" s="1483" t="e">
        <f>D28*'Emission Factors'!$L$61</f>
        <v>#DIV/0!</v>
      </c>
      <c r="G28" s="1484" t="e">
        <f>D28*'Emission Factors'!$M$61</f>
        <v>#DIV/0!</v>
      </c>
      <c r="H28" s="1483" t="e">
        <f>D28*'Emission Factors'!$N$61</f>
        <v>#DIV/0!</v>
      </c>
      <c r="I28" s="764" t="e">
        <f>(F28*'Emission Factors'!$B$125)+G28+(H28*'Emission Factors'!$C$125)</f>
        <v>#DIV/0!</v>
      </c>
      <c r="J28" s="1482"/>
      <c r="K28" s="27"/>
      <c r="L28" s="27"/>
      <c r="M28" s="30"/>
    </row>
    <row r="29" spans="2:13" s="9" customFormat="1" ht="14.25" customHeight="1">
      <c r="B29" s="1983"/>
      <c r="C29" s="1474" t="s">
        <v>1015</v>
      </c>
      <c r="D29" s="1486">
        <f>IF(Inputs!C40="Municipal",Inputs!C39,0)</f>
        <v>0</v>
      </c>
      <c r="E29" s="738"/>
      <c r="F29" s="1487">
        <f>D29*'Emission Factors'!$G$67</f>
        <v>0</v>
      </c>
      <c r="G29" s="1488">
        <f>D29*'Emission Factors'!$H$67</f>
        <v>0</v>
      </c>
      <c r="H29" s="1487">
        <f>D29*'Emission Factors'!$I$67</f>
        <v>0</v>
      </c>
      <c r="I29" s="764">
        <f>(F29*'Emission Factors'!$B$125)+G29+(H29*'Emission Factors'!$C$125)</f>
        <v>0</v>
      </c>
      <c r="J29" s="1489"/>
      <c r="K29" s="27"/>
      <c r="L29" s="27"/>
      <c r="M29" s="30"/>
    </row>
    <row r="30" spans="2:13" s="9" customFormat="1" ht="14.25" customHeight="1" thickBot="1">
      <c r="B30" s="1984"/>
      <c r="C30" s="1490" t="s">
        <v>1016</v>
      </c>
      <c r="D30" s="1491">
        <f>SUM(D27:D29)</f>
        <v>0</v>
      </c>
      <c r="E30" s="1491">
        <f>SUM(E27:E29)</f>
        <v>0</v>
      </c>
      <c r="F30" s="1492">
        <f>SUMIF(F27:F29,"&lt;&gt;#DIV/0!",F27:F29)</f>
        <v>0</v>
      </c>
      <c r="G30" s="1492">
        <f t="shared" ref="G30:I30" si="1">SUMIF(G27:G29,"&lt;&gt;#DIV/0!",G27:G29)</f>
        <v>0</v>
      </c>
      <c r="H30" s="1492">
        <f t="shared" si="1"/>
        <v>0</v>
      </c>
      <c r="I30" s="1492">
        <f t="shared" si="1"/>
        <v>0</v>
      </c>
      <c r="J30" s="1485"/>
      <c r="K30" s="27"/>
      <c r="L30" s="27"/>
      <c r="M30" s="30"/>
    </row>
    <row r="31" spans="2:13" s="9" customFormat="1" ht="28.5" customHeight="1" thickBot="1">
      <c r="B31" s="1869" t="s">
        <v>1017</v>
      </c>
      <c r="C31" s="1973"/>
      <c r="D31" s="1973"/>
      <c r="E31" s="1973"/>
      <c r="F31" s="1973"/>
      <c r="G31" s="1973"/>
      <c r="H31" s="1974"/>
      <c r="I31" s="27"/>
      <c r="J31" s="27"/>
      <c r="K31" s="30"/>
      <c r="L31" s="30"/>
      <c r="M31" s="30"/>
    </row>
    <row r="32" spans="2:13" s="9" customFormat="1" ht="18" customHeight="1" thickBot="1">
      <c r="B32" s="26"/>
      <c r="C32" s="26"/>
      <c r="D32" s="26"/>
      <c r="E32" s="26"/>
      <c r="F32" s="26"/>
      <c r="G32" s="26"/>
      <c r="H32" s="27"/>
      <c r="I32" s="27"/>
      <c r="J32" s="27"/>
      <c r="K32" s="30"/>
      <c r="L32" s="30"/>
      <c r="M32" s="30"/>
    </row>
    <row r="33" spans="2:14" s="9" customFormat="1" ht="15.75" customHeight="1" thickBot="1">
      <c r="B33" s="1879" t="s">
        <v>1018</v>
      </c>
      <c r="C33" s="1880"/>
      <c r="D33" s="1880"/>
      <c r="E33" s="1880"/>
      <c r="F33" s="1880"/>
      <c r="G33" s="1880"/>
      <c r="H33" s="1885"/>
      <c r="I33" s="27"/>
      <c r="J33" s="27"/>
      <c r="K33" s="30"/>
      <c r="L33" s="30"/>
      <c r="M33" s="30"/>
      <c r="N33" s="30"/>
    </row>
    <row r="34" spans="2:14" s="9" customFormat="1" ht="26.45">
      <c r="B34" s="1178" t="s">
        <v>396</v>
      </c>
      <c r="C34" s="1179" t="s">
        <v>1019</v>
      </c>
      <c r="D34" s="1179" t="s">
        <v>1020</v>
      </c>
      <c r="E34" s="1457" t="s">
        <v>1021</v>
      </c>
      <c r="F34" s="1457" t="s">
        <v>1022</v>
      </c>
      <c r="G34" s="1457" t="s">
        <v>1023</v>
      </c>
      <c r="H34" s="1226" t="s">
        <v>1024</v>
      </c>
      <c r="I34" s="26"/>
      <c r="J34" s="27"/>
      <c r="K34" s="27"/>
      <c r="L34" s="27"/>
      <c r="M34" s="30"/>
      <c r="N34" s="30"/>
    </row>
    <row r="35" spans="2:14" s="9" customFormat="1" ht="14.45">
      <c r="B35" s="125" t="s">
        <v>397</v>
      </c>
      <c r="C35" s="341">
        <f>I48</f>
        <v>0</v>
      </c>
      <c r="D35" s="358">
        <f>J48</f>
        <v>0</v>
      </c>
      <c r="E35" s="624">
        <f>K48</f>
        <v>0</v>
      </c>
      <c r="F35" s="625">
        <f>L48</f>
        <v>0</v>
      </c>
      <c r="G35" s="1220">
        <f>M48</f>
        <v>0</v>
      </c>
      <c r="H35" s="1223">
        <f>(E35*'Emission Factors'!$B$125)+F35+(G35*'Emission Factors'!$C$125)</f>
        <v>0</v>
      </c>
      <c r="I35" s="26"/>
      <c r="J35" s="27"/>
      <c r="K35" s="27"/>
      <c r="L35" s="27"/>
      <c r="M35" s="30"/>
      <c r="N35" s="30"/>
    </row>
    <row r="36" spans="2:14" s="9" customFormat="1" ht="14.45">
      <c r="B36" s="126" t="s">
        <v>1025</v>
      </c>
      <c r="C36" s="260">
        <f>K73</f>
        <v>0</v>
      </c>
      <c r="D36" s="260">
        <f>L73</f>
        <v>0</v>
      </c>
      <c r="E36" s="626">
        <f>M73</f>
        <v>0</v>
      </c>
      <c r="F36" s="627">
        <f>N73</f>
        <v>0</v>
      </c>
      <c r="G36" s="1221">
        <f>O73</f>
        <v>0</v>
      </c>
      <c r="H36" s="1223">
        <f>(E36*'Emission Factors'!$B$125)+F36+(G36*'Emission Factors'!$C$125)</f>
        <v>0</v>
      </c>
      <c r="I36" s="26"/>
      <c r="J36" s="27"/>
      <c r="K36" s="27"/>
      <c r="L36" s="27"/>
      <c r="M36" s="30"/>
      <c r="N36" s="30"/>
    </row>
    <row r="37" spans="2:14" s="9" customFormat="1" ht="14.45">
      <c r="B37" s="1172" t="s">
        <v>1026</v>
      </c>
      <c r="C37" s="1173">
        <f>I101</f>
        <v>0</v>
      </c>
      <c r="D37" s="260">
        <f>J101</f>
        <v>0</v>
      </c>
      <c r="E37" s="1174">
        <f>K101</f>
        <v>0</v>
      </c>
      <c r="F37" s="1174">
        <f>L101</f>
        <v>0</v>
      </c>
      <c r="G37" s="1221">
        <f>M101</f>
        <v>0</v>
      </c>
      <c r="H37" s="1223">
        <f>(E37*'Emission Factors'!$B$125)+F37+(G37*'Emission Factors'!$C$125)</f>
        <v>0</v>
      </c>
      <c r="I37" s="26"/>
      <c r="J37" s="27"/>
      <c r="K37" s="27"/>
      <c r="L37" s="27"/>
      <c r="M37" s="30"/>
      <c r="N37" s="30"/>
    </row>
    <row r="38" spans="2:14" s="9" customFormat="1" ht="14.45">
      <c r="B38" s="127" t="s">
        <v>449</v>
      </c>
      <c r="C38" s="1175">
        <f>Inputs!E39</f>
        <v>0</v>
      </c>
      <c r="D38" s="1044">
        <f>C38*'Emission Factors'!$D$136</f>
        <v>0</v>
      </c>
      <c r="E38" s="868">
        <f>D38*'Emission Factors'!$E$12</f>
        <v>0</v>
      </c>
      <c r="F38" s="868">
        <f>D38*'Emission Factors'!$D$12</f>
        <v>0</v>
      </c>
      <c r="G38" s="1222">
        <f>D38*'Emission Factors'!$F$12</f>
        <v>0</v>
      </c>
      <c r="H38" s="1224">
        <f>(E38*'Emission Factors'!$B$125)+F38+(G38*'Emission Factors'!$C$125)</f>
        <v>0</v>
      </c>
      <c r="I38"/>
      <c r="J38" s="27"/>
      <c r="K38" s="27"/>
      <c r="L38" s="27"/>
      <c r="M38" s="30"/>
      <c r="N38" s="30"/>
    </row>
    <row r="39" spans="2:14" s="9" customFormat="1" ht="15" thickBot="1">
      <c r="B39" s="120" t="s">
        <v>1027</v>
      </c>
      <c r="C39" s="1404">
        <f t="shared" ref="C39:H39" si="2">SUM(C35:C38)</f>
        <v>0</v>
      </c>
      <c r="D39" s="1404">
        <f t="shared" si="2"/>
        <v>0</v>
      </c>
      <c r="E39" s="1405">
        <f t="shared" si="2"/>
        <v>0</v>
      </c>
      <c r="F39" s="1404">
        <f t="shared" si="2"/>
        <v>0</v>
      </c>
      <c r="G39" s="1225">
        <f t="shared" si="2"/>
        <v>0</v>
      </c>
      <c r="H39" s="1406">
        <f t="shared" si="2"/>
        <v>0</v>
      </c>
      <c r="I39" s="26"/>
      <c r="J39" s="27"/>
      <c r="K39" s="27"/>
      <c r="L39" s="27"/>
      <c r="M39" s="30"/>
      <c r="N39" s="30"/>
    </row>
    <row r="40" spans="2:14" s="9" customFormat="1" ht="15" thickBot="1">
      <c r="B40" s="26"/>
      <c r="C40" s="26"/>
      <c r="D40" s="26"/>
      <c r="E40" s="26"/>
      <c r="F40" s="26"/>
      <c r="G40" s="26"/>
      <c r="H40" s="27"/>
      <c r="I40" s="27"/>
      <c r="J40" s="27"/>
      <c r="K40" s="30"/>
      <c r="L40" s="30"/>
      <c r="M40" s="30"/>
      <c r="N40" s="30"/>
    </row>
    <row r="41" spans="2:14" s="9" customFormat="1" ht="14.45" customHeight="1" thickBot="1">
      <c r="B41" s="1682" t="s">
        <v>1028</v>
      </c>
      <c r="C41" s="1860"/>
      <c r="D41" s="1860"/>
      <c r="E41" s="1860"/>
      <c r="F41" s="1860"/>
      <c r="G41" s="1860"/>
      <c r="H41" s="1860"/>
      <c r="I41" s="1860"/>
      <c r="J41" s="1860"/>
      <c r="K41" s="1860"/>
      <c r="L41" s="1860"/>
      <c r="M41" s="1683"/>
      <c r="N41" s="30"/>
    </row>
    <row r="42" spans="2:14" s="9" customFormat="1" ht="52.9">
      <c r="B42" s="91" t="s">
        <v>74</v>
      </c>
      <c r="C42" s="54" t="s">
        <v>1029</v>
      </c>
      <c r="D42" s="54" t="s">
        <v>1030</v>
      </c>
      <c r="E42" s="54" t="s">
        <v>1031</v>
      </c>
      <c r="F42" s="54" t="s">
        <v>1032</v>
      </c>
      <c r="G42" s="54" t="s">
        <v>75</v>
      </c>
      <c r="H42" s="54" t="s">
        <v>1033</v>
      </c>
      <c r="I42" s="1467" t="s">
        <v>1034</v>
      </c>
      <c r="J42" s="227" t="s">
        <v>1020</v>
      </c>
      <c r="K42" s="130" t="s">
        <v>1021</v>
      </c>
      <c r="L42" s="130" t="s">
        <v>1022</v>
      </c>
      <c r="M42" s="55" t="s">
        <v>1023</v>
      </c>
      <c r="N42" s="30"/>
    </row>
    <row r="43" spans="2:14" s="9" customFormat="1">
      <c r="B43" s="423" t="s">
        <v>1035</v>
      </c>
      <c r="C43" s="901">
        <v>581</v>
      </c>
      <c r="D43" s="900">
        <f>1406847/1000000</f>
        <v>1.406847</v>
      </c>
      <c r="E43" s="416">
        <f>D43/$D$48</f>
        <v>0.51344200120363603</v>
      </c>
      <c r="F43" s="417">
        <f>C43*$C$51</f>
        <v>812.55220086763336</v>
      </c>
      <c r="G43" s="740">
        <f>Inputs!C180</f>
        <v>0</v>
      </c>
      <c r="H43" s="741">
        <f>Inputs!$C$189</f>
        <v>0</v>
      </c>
      <c r="I43" s="418">
        <f>(F43*G43*H43)</f>
        <v>0</v>
      </c>
      <c r="J43" s="715">
        <f>I43*'Emission Factors'!$D$136</f>
        <v>0</v>
      </c>
      <c r="K43" s="638">
        <f>J43*'Emission Factors'!$E$12</f>
        <v>0</v>
      </c>
      <c r="L43" s="639">
        <f>J43*'Emission Factors'!$D$12</f>
        <v>0</v>
      </c>
      <c r="M43" s="274">
        <f>J43*'Emission Factors'!$F$12</f>
        <v>0</v>
      </c>
      <c r="N43" s="30"/>
    </row>
    <row r="44" spans="2:14" s="9" customFormat="1">
      <c r="B44" s="423" t="s">
        <v>1036</v>
      </c>
      <c r="C44" s="901">
        <v>407</v>
      </c>
      <c r="D44" s="900">
        <f>161616/1000000</f>
        <v>0.16161600000000001</v>
      </c>
      <c r="E44" s="416">
        <f>D44/$D$48</f>
        <v>5.8983274276823885E-2</v>
      </c>
      <c r="F44" s="417">
        <f>C44*$C$51</f>
        <v>569.20610284531278</v>
      </c>
      <c r="G44" s="740">
        <f>Inputs!C181</f>
        <v>0</v>
      </c>
      <c r="H44" s="741">
        <f>Inputs!$C$189</f>
        <v>0</v>
      </c>
      <c r="I44" s="418">
        <f>(F44*G44*H44)</f>
        <v>0</v>
      </c>
      <c r="J44" s="715">
        <f>I44*'Emission Factors'!$D$136</f>
        <v>0</v>
      </c>
      <c r="K44" s="638">
        <f>J44*'Emission Factors'!$E$12</f>
        <v>0</v>
      </c>
      <c r="L44" s="639">
        <f>J44*'Emission Factors'!$D$12</f>
        <v>0</v>
      </c>
      <c r="M44" s="274">
        <f>J44*'Emission Factors'!$F$12</f>
        <v>0</v>
      </c>
      <c r="N44" s="30"/>
    </row>
    <row r="45" spans="2:14" s="9" customFormat="1">
      <c r="B45" s="423" t="s">
        <v>1037</v>
      </c>
      <c r="C45" s="901">
        <v>343</v>
      </c>
      <c r="D45" s="900">
        <f>549444/1000000</f>
        <v>0.54944400000000004</v>
      </c>
      <c r="E45" s="416">
        <f>D45/$D$48</f>
        <v>0.20052473858872405</v>
      </c>
      <c r="F45" s="417">
        <f>C45*$C$51</f>
        <v>479.69949207848231</v>
      </c>
      <c r="G45" s="740">
        <f>SUM(Inputs!C182:C183)</f>
        <v>0</v>
      </c>
      <c r="H45" s="741">
        <f>Inputs!$C$189</f>
        <v>0</v>
      </c>
      <c r="I45" s="418">
        <f>(F45*G45*H45)</f>
        <v>0</v>
      </c>
      <c r="J45" s="715">
        <f>I45*'Emission Factors'!$D$136</f>
        <v>0</v>
      </c>
      <c r="K45" s="638">
        <f>J45*'Emission Factors'!$E$12</f>
        <v>0</v>
      </c>
      <c r="L45" s="639">
        <f>J45*'Emission Factors'!$D$12</f>
        <v>0</v>
      </c>
      <c r="M45" s="274">
        <f>J45*'Emission Factors'!$F$12</f>
        <v>0</v>
      </c>
      <c r="N45" s="30"/>
    </row>
    <row r="46" spans="2:14" s="9" customFormat="1">
      <c r="B46" s="423" t="s">
        <v>1038</v>
      </c>
      <c r="C46" s="901">
        <v>224</v>
      </c>
      <c r="D46" s="900">
        <f>601203/1000000</f>
        <v>0.60120300000000004</v>
      </c>
      <c r="E46" s="416">
        <f>D46/$D$48</f>
        <v>0.21941467085591371</v>
      </c>
      <c r="F46" s="417">
        <f>C46*$C$51</f>
        <v>313.27313768390684</v>
      </c>
      <c r="G46" s="740">
        <f>SUM(Inputs!C184:C186)</f>
        <v>0</v>
      </c>
      <c r="H46" s="741">
        <f>Inputs!$C$189</f>
        <v>0</v>
      </c>
      <c r="I46" s="418">
        <f>(F46*G46*H46)</f>
        <v>0</v>
      </c>
      <c r="J46" s="715">
        <f>I46*'Emission Factors'!$D$136</f>
        <v>0</v>
      </c>
      <c r="K46" s="638">
        <f>J46*'Emission Factors'!$E$12</f>
        <v>0</v>
      </c>
      <c r="L46" s="639">
        <f>J46*'Emission Factors'!$D$12</f>
        <v>0</v>
      </c>
      <c r="M46" s="274">
        <f>J46*'Emission Factors'!$F$12</f>
        <v>0</v>
      </c>
      <c r="N46" s="30"/>
    </row>
    <row r="47" spans="2:14" s="9" customFormat="1">
      <c r="B47" s="447" t="s">
        <v>1039</v>
      </c>
      <c r="C47" s="902">
        <v>309</v>
      </c>
      <c r="D47" s="900">
        <f>20921/1000000</f>
        <v>2.0920999999999999E-2</v>
      </c>
      <c r="E47" s="416">
        <f>D47/$D$48</f>
        <v>7.6353150749024377E-3</v>
      </c>
      <c r="F47" s="428">
        <f>C47*$C$51</f>
        <v>432.14910510860358</v>
      </c>
      <c r="G47" s="742">
        <f>Inputs!C187</f>
        <v>0</v>
      </c>
      <c r="H47" s="741">
        <f>Inputs!$C$189</f>
        <v>0</v>
      </c>
      <c r="I47" s="429">
        <f>(F47*G47*H47)</f>
        <v>0</v>
      </c>
      <c r="J47" s="743">
        <f>I47*'Emission Factors'!$D$136</f>
        <v>0</v>
      </c>
      <c r="K47" s="744">
        <f>J47*'Emission Factors'!$E$12</f>
        <v>0</v>
      </c>
      <c r="L47" s="745">
        <f>J47*'Emission Factors'!$D$12</f>
        <v>0</v>
      </c>
      <c r="M47" s="746">
        <f>J47*'Emission Factors'!$F$12</f>
        <v>0</v>
      </c>
      <c r="N47" s="30"/>
    </row>
    <row r="48" spans="2:14" s="9" customFormat="1" ht="13.9" thickBot="1">
      <c r="B48" s="120" t="s">
        <v>1040</v>
      </c>
      <c r="C48" s="1393"/>
      <c r="D48" s="1407">
        <f>SUM(D43:D47)</f>
        <v>2.7400309999999997</v>
      </c>
      <c r="E48" s="1408">
        <f>SUM(E43:E47)</f>
        <v>1.0000000000000002</v>
      </c>
      <c r="F48" s="1409"/>
      <c r="G48" s="1409"/>
      <c r="H48" s="1409"/>
      <c r="I48" s="1410">
        <f>SUM(I43:I47)</f>
        <v>0</v>
      </c>
      <c r="J48" s="430">
        <f>SUM(J43:J47)</f>
        <v>0</v>
      </c>
      <c r="K48" s="1411">
        <f>SUM(K43:K47)</f>
        <v>0</v>
      </c>
      <c r="L48" s="1412">
        <f>SUM(L43:L47)</f>
        <v>0</v>
      </c>
      <c r="M48" s="1413">
        <f>SUM(M43:M47)</f>
        <v>0</v>
      </c>
      <c r="N48" s="30"/>
    </row>
    <row r="49" spans="2:15" s="9" customFormat="1" ht="47.25" customHeight="1">
      <c r="B49" s="448" t="s">
        <v>1041</v>
      </c>
      <c r="C49" s="449">
        <f>SUMPRODUCT(C43:C47,E43:E47)</f>
        <v>442.60417929578171</v>
      </c>
      <c r="D49" s="407"/>
      <c r="E49" s="415"/>
      <c r="F49" s="408"/>
      <c r="G49" s="409"/>
      <c r="H49" s="410"/>
      <c r="I49" s="411"/>
      <c r="J49" s="482"/>
      <c r="K49" s="30"/>
      <c r="L49" s="30"/>
      <c r="M49" s="30"/>
      <c r="N49" s="30"/>
      <c r="O49" s="30"/>
    </row>
    <row r="50" spans="2:15" s="9" customFormat="1" ht="39.6">
      <c r="B50" s="414" t="s">
        <v>1042</v>
      </c>
      <c r="C50" s="903">
        <v>619</v>
      </c>
      <c r="D50" s="407"/>
      <c r="E50" s="415"/>
      <c r="F50" s="408"/>
      <c r="G50" s="409"/>
      <c r="H50" s="410"/>
      <c r="I50" s="411"/>
      <c r="J50" s="1300"/>
      <c r="K50" s="30"/>
      <c r="L50" s="30"/>
      <c r="M50" s="30"/>
      <c r="N50" s="30"/>
      <c r="O50" s="30"/>
    </row>
    <row r="51" spans="2:15" s="9" customFormat="1" ht="13.9" thickBot="1">
      <c r="B51" s="1497" t="s">
        <v>1043</v>
      </c>
      <c r="C51" s="1498">
        <f>C50/C49</f>
        <v>1.3985407932317269</v>
      </c>
      <c r="D51" s="407"/>
      <c r="E51" s="415"/>
      <c r="F51" s="408"/>
      <c r="G51" s="409"/>
      <c r="H51" s="30"/>
      <c r="I51" s="411"/>
      <c r="J51" s="482"/>
      <c r="K51" s="30"/>
      <c r="L51" s="30"/>
      <c r="M51" s="30"/>
      <c r="N51" s="30"/>
      <c r="O51" s="30"/>
    </row>
    <row r="52" spans="2:15" s="9" customFormat="1" ht="18.600000000000001" customHeight="1">
      <c r="B52" s="1686" t="s">
        <v>1044</v>
      </c>
      <c r="C52" s="1978"/>
      <c r="D52" s="1978"/>
      <c r="E52" s="1979"/>
      <c r="F52" s="1503" t="s">
        <v>1045</v>
      </c>
      <c r="G52" s="409"/>
      <c r="H52" s="410"/>
      <c r="I52" s="406"/>
      <c r="J52" s="482"/>
      <c r="K52" s="30"/>
      <c r="L52" s="30"/>
      <c r="M52" s="30"/>
      <c r="N52" s="30"/>
      <c r="O52" s="30"/>
    </row>
    <row r="53" spans="2:15" s="9" customFormat="1" ht="27.6" customHeight="1">
      <c r="B53" s="1953" t="s">
        <v>1046</v>
      </c>
      <c r="C53" s="1954"/>
      <c r="D53" s="1954"/>
      <c r="E53" s="1980"/>
      <c r="F53" s="1504" t="s">
        <v>1047</v>
      </c>
      <c r="G53" s="409"/>
      <c r="H53" s="406"/>
      <c r="I53" s="406"/>
      <c r="J53" s="30"/>
      <c r="K53" s="30"/>
      <c r="L53" s="30"/>
      <c r="M53" s="30"/>
      <c r="N53" s="30"/>
      <c r="O53" s="30"/>
    </row>
    <row r="54" spans="2:15" s="9" customFormat="1" ht="18" customHeight="1" thickBot="1">
      <c r="B54" s="1955" t="s">
        <v>1048</v>
      </c>
      <c r="C54" s="1907"/>
      <c r="D54" s="1907"/>
      <c r="E54" s="1981"/>
      <c r="F54" s="1505" t="s">
        <v>1049</v>
      </c>
      <c r="G54" s="409"/>
      <c r="H54" s="406"/>
      <c r="I54" s="406"/>
      <c r="J54" s="30"/>
      <c r="K54" s="30"/>
      <c r="L54" s="30"/>
      <c r="M54" s="30"/>
      <c r="N54" s="30"/>
      <c r="O54" s="30"/>
    </row>
    <row r="55" spans="2:15" s="9" customFormat="1" ht="13.9" thickBot="1">
      <c r="B55" s="406"/>
      <c r="C55" s="406"/>
      <c r="D55" s="406"/>
      <c r="E55" s="30"/>
      <c r="F55" s="406"/>
      <c r="G55" s="406"/>
      <c r="H55" s="406"/>
      <c r="I55" s="406"/>
      <c r="J55" s="30"/>
      <c r="K55" s="30"/>
      <c r="L55" s="30"/>
      <c r="M55" s="30"/>
      <c r="N55" s="30"/>
      <c r="O55" s="30"/>
    </row>
    <row r="56" spans="2:15" s="9" customFormat="1" ht="14.45" thickBot="1">
      <c r="B56" s="1682" t="s">
        <v>1050</v>
      </c>
      <c r="C56" s="1860"/>
      <c r="D56" s="1860"/>
      <c r="E56" s="1860"/>
      <c r="F56" s="1860"/>
      <c r="G56" s="1860"/>
      <c r="H56" s="1860"/>
      <c r="I56" s="1860"/>
      <c r="J56" s="1948"/>
      <c r="K56" s="1949"/>
      <c r="L56" s="1949"/>
      <c r="M56" s="1949"/>
      <c r="N56" s="1949"/>
      <c r="O56" s="1950"/>
    </row>
    <row r="57" spans="2:15" s="9" customFormat="1" ht="66">
      <c r="B57" s="91" t="s">
        <v>1051</v>
      </c>
      <c r="C57" s="54" t="s">
        <v>1052</v>
      </c>
      <c r="D57" s="54" t="s">
        <v>1053</v>
      </c>
      <c r="E57" s="54" t="s">
        <v>1054</v>
      </c>
      <c r="F57" s="54" t="s">
        <v>1055</v>
      </c>
      <c r="G57" s="54" t="s">
        <v>1056</v>
      </c>
      <c r="H57" s="54" t="s">
        <v>1057</v>
      </c>
      <c r="I57" s="54" t="s">
        <v>1058</v>
      </c>
      <c r="J57" s="54" t="s">
        <v>1059</v>
      </c>
      <c r="K57" s="55" t="s">
        <v>1034</v>
      </c>
      <c r="L57" s="54" t="s">
        <v>1020</v>
      </c>
      <c r="M57" s="130" t="s">
        <v>1021</v>
      </c>
      <c r="N57" s="130" t="s">
        <v>1022</v>
      </c>
      <c r="O57" s="55" t="s">
        <v>1023</v>
      </c>
    </row>
    <row r="58" spans="2:15" s="9" customFormat="1">
      <c r="B58" s="419" t="s">
        <v>1060</v>
      </c>
      <c r="C58" s="438">
        <f>SUMIF($C$109:$C$207,"Education",$F$109:$F$207)</f>
        <v>0</v>
      </c>
      <c r="D58" s="438">
        <f>SUMIF($C$109:$C$207,"Education",$E$109:$E$207)</f>
        <v>0</v>
      </c>
      <c r="E58" s="420" t="str">
        <f>IFERROR(C58/D58,"N/A")</f>
        <v>N/A</v>
      </c>
      <c r="F58" s="242">
        <v>6322</v>
      </c>
      <c r="G58" s="904">
        <v>112.1</v>
      </c>
      <c r="H58" s="421"/>
      <c r="I58" s="422"/>
      <c r="J58" s="906">
        <v>0.37454545454545457</v>
      </c>
      <c r="K58" s="418">
        <f>(C58*G58*J58)</f>
        <v>0</v>
      </c>
      <c r="L58" s="637">
        <f>K58*'Emission Factors'!$D$136</f>
        <v>0</v>
      </c>
      <c r="M58" s="638">
        <f>L58*'Emission Factors'!$E$12</f>
        <v>0</v>
      </c>
      <c r="N58" s="639">
        <f>L58*'Emission Factors'!$D$12</f>
        <v>0</v>
      </c>
      <c r="O58" s="274">
        <f>L58*'Emission Factors'!$F$12</f>
        <v>0</v>
      </c>
    </row>
    <row r="59" spans="2:15" s="9" customFormat="1">
      <c r="B59" s="419" t="s">
        <v>1061</v>
      </c>
      <c r="C59" s="438">
        <f>SUMIF($C$109:$C$207,"Food Sales",$F$109:$F$207)</f>
        <v>0</v>
      </c>
      <c r="D59" s="438">
        <f>SUMIF($C$109:$C$207,"Food Sales",$E$109:$E$207)</f>
        <v>0</v>
      </c>
      <c r="E59" s="420" t="str">
        <f t="shared" ref="E59:E72" si="3">IFERROR(C59/D59,"N/A")</f>
        <v>N/A</v>
      </c>
      <c r="F59" s="242">
        <f>$F$66+($F$66*I59)</f>
        <v>909.42548596112306</v>
      </c>
      <c r="G59" s="242" t="e">
        <f>F59/E59</f>
        <v>#VALUE!</v>
      </c>
      <c r="H59" s="242">
        <v>511</v>
      </c>
      <c r="I59" s="416">
        <f>(H59-$H$66)/$H$66</f>
        <v>0.10367170626349892</v>
      </c>
      <c r="J59" s="906">
        <v>0.37454545454545457</v>
      </c>
      <c r="K59" s="418" t="e">
        <f>(C59*G59*J59)</f>
        <v>#VALUE!</v>
      </c>
      <c r="L59" s="637" t="e">
        <f>K59*'Emission Factors'!$D$136</f>
        <v>#VALUE!</v>
      </c>
      <c r="M59" s="638" t="e">
        <f>L59*'Emission Factors'!$E$12</f>
        <v>#VALUE!</v>
      </c>
      <c r="N59" s="639" t="e">
        <f>L59*'Emission Factors'!$D$12</f>
        <v>#VALUE!</v>
      </c>
      <c r="O59" s="274" t="e">
        <f>L59*'Emission Factors'!$F$12</f>
        <v>#VALUE!</v>
      </c>
    </row>
    <row r="60" spans="2:15" s="9" customFormat="1">
      <c r="B60" s="419" t="s">
        <v>1062</v>
      </c>
      <c r="C60" s="438">
        <f>SUMIF($C$109:$C$207,"Food Service",$F$109:$F$207)</f>
        <v>0</v>
      </c>
      <c r="D60" s="438">
        <f>SUMIF($C$109:$C$207,"Food Service",$E$109:$E$207)</f>
        <v>0</v>
      </c>
      <c r="E60" s="420" t="str">
        <f t="shared" si="3"/>
        <v>N/A</v>
      </c>
      <c r="F60" s="242">
        <f>$F$66+($F$66*I60)</f>
        <v>1279.6025917926565</v>
      </c>
      <c r="G60" s="242" t="e">
        <f>F60/E60</f>
        <v>#VALUE!</v>
      </c>
      <c r="H60" s="242">
        <v>719</v>
      </c>
      <c r="I60" s="416">
        <f>(H60-$H$66)/$H$66</f>
        <v>0.55291576673866094</v>
      </c>
      <c r="J60" s="906">
        <v>0.37454545454545457</v>
      </c>
      <c r="K60" s="418" t="e">
        <f>(C60*G60*J60)</f>
        <v>#VALUE!</v>
      </c>
      <c r="L60" s="637" t="e">
        <f>K60*'Emission Factors'!$D$136</f>
        <v>#VALUE!</v>
      </c>
      <c r="M60" s="638" t="e">
        <f>L60*'Emission Factors'!$E$12</f>
        <v>#VALUE!</v>
      </c>
      <c r="N60" s="639" t="e">
        <f>L60*'Emission Factors'!$D$12</f>
        <v>#VALUE!</v>
      </c>
      <c r="O60" s="274" t="e">
        <f>L60*'Emission Factors'!$F$12</f>
        <v>#VALUE!</v>
      </c>
    </row>
    <row r="61" spans="2:15" s="9" customFormat="1">
      <c r="B61" s="419" t="s">
        <v>1063</v>
      </c>
      <c r="C61" s="438">
        <f>SUMIF($C$109:$C$207,"Inpatient Health Care",$F$109:$F$207)</f>
        <v>0</v>
      </c>
      <c r="D61" s="438">
        <f>SUMIF($C$109:$C$207,"Inpatient Health Care",$E$109:$E$207)</f>
        <v>0</v>
      </c>
      <c r="E61" s="420" t="str">
        <f t="shared" si="3"/>
        <v>N/A</v>
      </c>
      <c r="F61" s="242">
        <v>7315</v>
      </c>
      <c r="G61" s="904">
        <v>18</v>
      </c>
      <c r="H61" s="421"/>
      <c r="I61" s="422"/>
      <c r="J61" s="906">
        <v>0.37454545454545457</v>
      </c>
      <c r="K61" s="418">
        <f t="shared" ref="K61:K72" si="4">(C61*G61*J61)</f>
        <v>0</v>
      </c>
      <c r="L61" s="637">
        <f>K61*'Emission Factors'!$D$136</f>
        <v>0</v>
      </c>
      <c r="M61" s="638">
        <f>L61*'Emission Factors'!$E$12</f>
        <v>0</v>
      </c>
      <c r="N61" s="639">
        <f>L61*'Emission Factors'!$D$12</f>
        <v>0</v>
      </c>
      <c r="O61" s="274">
        <f>L61*'Emission Factors'!$F$12</f>
        <v>0</v>
      </c>
    </row>
    <row r="62" spans="2:15" s="9" customFormat="1">
      <c r="B62" s="419" t="s">
        <v>1064</v>
      </c>
      <c r="C62" s="438">
        <f>SUMIF($C$109:$C$207,"Outpatient Health Care",$F$109:$F$207)</f>
        <v>0</v>
      </c>
      <c r="D62" s="438">
        <f>SUMIF($C$109:$C$207,"Outpatient Health Care",$E$109:$E$207)</f>
        <v>0</v>
      </c>
      <c r="E62" s="420" t="str">
        <f t="shared" si="3"/>
        <v>N/A</v>
      </c>
      <c r="F62" s="242">
        <v>222</v>
      </c>
      <c r="G62" s="242">
        <v>3.5</v>
      </c>
      <c r="H62" s="421"/>
      <c r="I62" s="422"/>
      <c r="J62" s="906">
        <v>0.37454545454545457</v>
      </c>
      <c r="K62" s="418">
        <f>(C62*G62*J62)</f>
        <v>0</v>
      </c>
      <c r="L62" s="637">
        <f>K62*'Emission Factors'!$D$136</f>
        <v>0</v>
      </c>
      <c r="M62" s="638">
        <f>L62*'Emission Factors'!$E$12</f>
        <v>0</v>
      </c>
      <c r="N62" s="639">
        <f>L62*'Emission Factors'!$D$12</f>
        <v>0</v>
      </c>
      <c r="O62" s="274">
        <f>L62*'Emission Factors'!$F$12</f>
        <v>0</v>
      </c>
    </row>
    <row r="63" spans="2:15" s="9" customFormat="1">
      <c r="B63" s="419" t="s">
        <v>1065</v>
      </c>
      <c r="C63" s="438">
        <f>SUMIF($C$109:$C$207,"Lodging",$F$109:$F$207)</f>
        <v>0</v>
      </c>
      <c r="D63" s="438">
        <f>SUMIF($C$109:$C$207,"Lodging",$E$109:$E$207)</f>
        <v>0</v>
      </c>
      <c r="E63" s="420" t="str">
        <f t="shared" si="3"/>
        <v>N/A</v>
      </c>
      <c r="F63" s="242">
        <v>1421</v>
      </c>
      <c r="G63" s="904">
        <v>40</v>
      </c>
      <c r="H63" s="421"/>
      <c r="I63" s="422"/>
      <c r="J63" s="906">
        <v>0.37454545454545457</v>
      </c>
      <c r="K63" s="418">
        <f t="shared" si="4"/>
        <v>0</v>
      </c>
      <c r="L63" s="637">
        <f>K63*'Emission Factors'!$D$136</f>
        <v>0</v>
      </c>
      <c r="M63" s="638">
        <f>L63*'Emission Factors'!$E$12</f>
        <v>0</v>
      </c>
      <c r="N63" s="639">
        <f>L63*'Emission Factors'!$D$12</f>
        <v>0</v>
      </c>
      <c r="O63" s="274">
        <f>L63*'Emission Factors'!$F$12</f>
        <v>0</v>
      </c>
    </row>
    <row r="64" spans="2:15" s="9" customFormat="1">
      <c r="B64" s="419" t="s">
        <v>1066</v>
      </c>
      <c r="C64" s="438">
        <f>SUMIF($C$109:$C$207,"Retail (non-mall)",$F$109:$F$207)</f>
        <v>0</v>
      </c>
      <c r="D64" s="438">
        <f>SUMIF($C$109:$C$207,"Retail (non-mall)",$E$109:$E$207)</f>
        <v>0</v>
      </c>
      <c r="E64" s="420" t="str">
        <f t="shared" si="3"/>
        <v>N/A</v>
      </c>
      <c r="F64" s="242">
        <v>1022</v>
      </c>
      <c r="G64" s="242" t="e">
        <f>F64/E64</f>
        <v>#VALUE!</v>
      </c>
      <c r="H64" s="242">
        <v>312</v>
      </c>
      <c r="I64" s="416">
        <f>(H64-$H$66)/$H$66</f>
        <v>-0.326133909287257</v>
      </c>
      <c r="J64" s="906">
        <v>0.37454545454545457</v>
      </c>
      <c r="K64" s="418" t="e">
        <f t="shared" si="4"/>
        <v>#VALUE!</v>
      </c>
      <c r="L64" s="637" t="e">
        <f>K64*'Emission Factors'!$D$136</f>
        <v>#VALUE!</v>
      </c>
      <c r="M64" s="638" t="e">
        <f>L64*'Emission Factors'!$E$12</f>
        <v>#VALUE!</v>
      </c>
      <c r="N64" s="639" t="e">
        <f>L64*'Emission Factors'!$D$12</f>
        <v>#VALUE!</v>
      </c>
      <c r="O64" s="274" t="e">
        <f>L64*'Emission Factors'!$F$12</f>
        <v>#VALUE!</v>
      </c>
    </row>
    <row r="65" spans="2:15" s="9" customFormat="1">
      <c r="B65" s="419" t="s">
        <v>1067</v>
      </c>
      <c r="C65" s="438">
        <f>SUMIF($C$109:$C$207,"Retail (mall)",$F$109:$F$207)</f>
        <v>0</v>
      </c>
      <c r="D65" s="438">
        <f>SUMIF($C$109:$C$207,"Retail (mall)",$E$109:$E$207)</f>
        <v>0</v>
      </c>
      <c r="E65" s="420" t="str">
        <f t="shared" si="3"/>
        <v>N/A</v>
      </c>
      <c r="F65" s="242">
        <f>$F$66+($F$66*I65)</f>
        <v>2719.3779697624186</v>
      </c>
      <c r="G65" s="242" t="e">
        <f>F65/E65</f>
        <v>#VALUE!</v>
      </c>
      <c r="H65" s="242">
        <v>1528</v>
      </c>
      <c r="I65" s="416">
        <f>(H65-$H$66)/$H$66</f>
        <v>2.3002159827213822</v>
      </c>
      <c r="J65" s="906">
        <v>0.37454545454545457</v>
      </c>
      <c r="K65" s="418" t="e">
        <f t="shared" si="4"/>
        <v>#VALUE!</v>
      </c>
      <c r="L65" s="637" t="e">
        <f>K65*'Emission Factors'!$D$136</f>
        <v>#VALUE!</v>
      </c>
      <c r="M65" s="638" t="e">
        <f>L65*'Emission Factors'!$E$12</f>
        <v>#VALUE!</v>
      </c>
      <c r="N65" s="639" t="e">
        <f>L65*'Emission Factors'!$D$12</f>
        <v>#VALUE!</v>
      </c>
      <c r="O65" s="274" t="e">
        <f>L65*'Emission Factors'!$F$12</f>
        <v>#VALUE!</v>
      </c>
    </row>
    <row r="66" spans="2:15" s="9" customFormat="1">
      <c r="B66" s="419" t="s">
        <v>1068</v>
      </c>
      <c r="C66" s="438">
        <f>SUMIF($C$109:$C$207,"Office",$F$109:$F$207)</f>
        <v>0</v>
      </c>
      <c r="D66" s="438">
        <f>SUMIF($C$109:$C$207,"Office",$E$109:$E$207)</f>
        <v>0</v>
      </c>
      <c r="E66" s="420" t="str">
        <f t="shared" si="3"/>
        <v>N/A</v>
      </c>
      <c r="F66" s="242">
        <v>824</v>
      </c>
      <c r="G66" s="904">
        <v>7.1</v>
      </c>
      <c r="H66" s="904">
        <v>463</v>
      </c>
      <c r="I66" s="422"/>
      <c r="J66" s="906">
        <v>0.37454545454545457</v>
      </c>
      <c r="K66" s="418">
        <f t="shared" si="4"/>
        <v>0</v>
      </c>
      <c r="L66" s="637">
        <f>K66*'Emission Factors'!$D$136</f>
        <v>0</v>
      </c>
      <c r="M66" s="638">
        <f>L66*'Emission Factors'!$E$12</f>
        <v>0</v>
      </c>
      <c r="N66" s="639">
        <f>L66*'Emission Factors'!$D$12</f>
        <v>0</v>
      </c>
      <c r="O66" s="274">
        <f>L66*'Emission Factors'!$F$12</f>
        <v>0</v>
      </c>
    </row>
    <row r="67" spans="2:15" s="9" customFormat="1">
      <c r="B67" s="419" t="s">
        <v>1069</v>
      </c>
      <c r="C67" s="438">
        <f>SUMIF($C$109:$C$207,"Public Assembly",$F$109:$F$207)</f>
        <v>0</v>
      </c>
      <c r="D67" s="438">
        <f>SUMIF($C$109:$C$207,"Public Assembly",$E$109:$E$207)</f>
        <v>0</v>
      </c>
      <c r="E67" s="420" t="str">
        <f t="shared" si="3"/>
        <v>N/A</v>
      </c>
      <c r="F67" s="242">
        <v>1095</v>
      </c>
      <c r="G67" s="904">
        <v>44.3</v>
      </c>
      <c r="H67" s="421"/>
      <c r="I67" s="422"/>
      <c r="J67" s="906">
        <v>0.37454545454545457</v>
      </c>
      <c r="K67" s="418">
        <f t="shared" si="4"/>
        <v>0</v>
      </c>
      <c r="L67" s="637">
        <f>K67*'Emission Factors'!$D$136</f>
        <v>0</v>
      </c>
      <c r="M67" s="638">
        <f>L67*'Emission Factors'!$E$12</f>
        <v>0</v>
      </c>
      <c r="N67" s="639">
        <f>L67*'Emission Factors'!$D$12</f>
        <v>0</v>
      </c>
      <c r="O67" s="274">
        <f>L67*'Emission Factors'!$F$12</f>
        <v>0</v>
      </c>
    </row>
    <row r="68" spans="2:15" s="9" customFormat="1">
      <c r="B68" s="423" t="s">
        <v>1070</v>
      </c>
      <c r="C68" s="438">
        <f>SUMIF($C$109:$C$207,"Public Order/ Safety",$F$109:$F$207)</f>
        <v>0</v>
      </c>
      <c r="D68" s="438">
        <f>SUMIF($C$109:$C$207,"Public Order/ Safety",$E$109:$E$207)</f>
        <v>0</v>
      </c>
      <c r="E68" s="420" t="str">
        <f t="shared" si="3"/>
        <v>N/A</v>
      </c>
      <c r="F68" s="242">
        <f>$F$66+($F$66*I68)</f>
        <v>1475.3693304535636</v>
      </c>
      <c r="G68" s="242" t="e">
        <f>F68/E68</f>
        <v>#VALUE!</v>
      </c>
      <c r="H68" s="904">
        <v>829</v>
      </c>
      <c r="I68" s="416">
        <f>(H68-$H$66)/$H$66</f>
        <v>0.79049676025917925</v>
      </c>
      <c r="J68" s="906">
        <v>0.37454545454545457</v>
      </c>
      <c r="K68" s="418" t="e">
        <f t="shared" si="4"/>
        <v>#VALUE!</v>
      </c>
      <c r="L68" s="637" t="e">
        <f>K68*'Emission Factors'!$D$136</f>
        <v>#VALUE!</v>
      </c>
      <c r="M68" s="638" t="e">
        <f>L68*'Emission Factors'!$E$12</f>
        <v>#VALUE!</v>
      </c>
      <c r="N68" s="639" t="e">
        <f>L68*'Emission Factors'!$D$12</f>
        <v>#VALUE!</v>
      </c>
      <c r="O68" s="274" t="e">
        <f>L68*'Emission Factors'!$F$12</f>
        <v>#VALUE!</v>
      </c>
    </row>
    <row r="69" spans="2:15" s="9" customFormat="1">
      <c r="B69" s="423" t="s">
        <v>1071</v>
      </c>
      <c r="C69" s="438">
        <f>SUMIF($C$109:$C$207,"Religious Worship",$F$109:$F$207)</f>
        <v>0</v>
      </c>
      <c r="D69" s="438">
        <f>SUMIF($C$109:$C$207,"Religious Worship",$E$109:$E$207)</f>
        <v>0</v>
      </c>
      <c r="E69" s="420" t="str">
        <f t="shared" si="3"/>
        <v>N/A</v>
      </c>
      <c r="F69" s="242">
        <v>1388</v>
      </c>
      <c r="G69" s="242" t="e">
        <f>F69/E69</f>
        <v>#VALUE!</v>
      </c>
      <c r="H69" s="421"/>
      <c r="I69" s="422"/>
      <c r="J69" s="906">
        <v>0.37454545454545457</v>
      </c>
      <c r="K69" s="418" t="e">
        <f t="shared" si="4"/>
        <v>#VALUE!</v>
      </c>
      <c r="L69" s="637" t="e">
        <f>K69*'Emission Factors'!$D$136</f>
        <v>#VALUE!</v>
      </c>
      <c r="M69" s="638" t="e">
        <f>L69*'Emission Factors'!$E$12</f>
        <v>#VALUE!</v>
      </c>
      <c r="N69" s="639" t="e">
        <f>L69*'Emission Factors'!$D$12</f>
        <v>#VALUE!</v>
      </c>
      <c r="O69" s="274" t="e">
        <f>L69*'Emission Factors'!$F$12</f>
        <v>#VALUE!</v>
      </c>
    </row>
    <row r="70" spans="2:15" s="9" customFormat="1">
      <c r="B70" s="423" t="s">
        <v>1072</v>
      </c>
      <c r="C70" s="438">
        <f>SUMIF($C$109:$C$207,"Service",$F$109:$F$207)</f>
        <v>0</v>
      </c>
      <c r="D70" s="438">
        <f>SUMIF($C$109:$C$207,"Service",$E$109:$E$207)</f>
        <v>0</v>
      </c>
      <c r="E70" s="420" t="str">
        <f t="shared" si="3"/>
        <v>N/A</v>
      </c>
      <c r="F70" s="242">
        <v>692</v>
      </c>
      <c r="G70" s="904">
        <v>111.5</v>
      </c>
      <c r="H70" s="421"/>
      <c r="I70" s="422"/>
      <c r="J70" s="906">
        <v>0.37454545454545457</v>
      </c>
      <c r="K70" s="418">
        <f t="shared" si="4"/>
        <v>0</v>
      </c>
      <c r="L70" s="637">
        <f>K70*'Emission Factors'!$D$136</f>
        <v>0</v>
      </c>
      <c r="M70" s="638">
        <f>L70*'Emission Factors'!$E$12</f>
        <v>0</v>
      </c>
      <c r="N70" s="639">
        <f>L70*'Emission Factors'!$D$12</f>
        <v>0</v>
      </c>
      <c r="O70" s="274">
        <f>L70*'Emission Factors'!$F$12</f>
        <v>0</v>
      </c>
    </row>
    <row r="71" spans="2:15" s="9" customFormat="1">
      <c r="B71" s="423" t="s">
        <v>1073</v>
      </c>
      <c r="C71" s="438">
        <f>SUMIF($C$109:$C$207,"Warehouse/ Storage",$F$109:$F$207)</f>
        <v>0</v>
      </c>
      <c r="D71" s="438">
        <f>SUMIF($C$109:$C$207,"Warehouse/ Storage",$E$109:$E$207)</f>
        <v>0</v>
      </c>
      <c r="E71" s="420" t="str">
        <f t="shared" si="3"/>
        <v>N/A</v>
      </c>
      <c r="F71" s="242">
        <f>$F$66+($F$66*I71)</f>
        <v>651.36933045356363</v>
      </c>
      <c r="G71" s="242" t="e">
        <f>F71/E71</f>
        <v>#VALUE!</v>
      </c>
      <c r="H71" s="904">
        <v>366</v>
      </c>
      <c r="I71" s="416">
        <f>(H71-$H$66)/$H$66</f>
        <v>-0.20950323974082075</v>
      </c>
      <c r="J71" s="906">
        <v>0.37454545454545457</v>
      </c>
      <c r="K71" s="418" t="e">
        <f t="shared" si="4"/>
        <v>#VALUE!</v>
      </c>
      <c r="L71" s="637" t="e">
        <f>K71*'Emission Factors'!$D$136</f>
        <v>#VALUE!</v>
      </c>
      <c r="M71" s="638" t="e">
        <f>L71*'Emission Factors'!$E$12</f>
        <v>#VALUE!</v>
      </c>
      <c r="N71" s="639" t="e">
        <f>L71*'Emission Factors'!$D$12</f>
        <v>#VALUE!</v>
      </c>
      <c r="O71" s="274" t="e">
        <f>L71*'Emission Factors'!$F$12</f>
        <v>#VALUE!</v>
      </c>
    </row>
    <row r="72" spans="2:15" s="9" customFormat="1" ht="13.9" thickBot="1">
      <c r="B72" s="424" t="s">
        <v>1074</v>
      </c>
      <c r="C72" s="438">
        <f>SUMIF($C$109:$C$207,"Other",$F$109:$F$207)</f>
        <v>0</v>
      </c>
      <c r="D72" s="438">
        <f>SUMIF($C$109:$C$207,"Other",$E$109:$E$207)</f>
        <v>0</v>
      </c>
      <c r="E72" s="420" t="str">
        <f t="shared" si="3"/>
        <v>N/A</v>
      </c>
      <c r="F72" s="245">
        <v>1839</v>
      </c>
      <c r="G72" s="905" t="e">
        <f>F72/E72</f>
        <v>#VALUE!</v>
      </c>
      <c r="H72" s="425"/>
      <c r="I72" s="426"/>
      <c r="J72" s="907">
        <v>0.37454545454545457</v>
      </c>
      <c r="K72" s="418" t="e">
        <f t="shared" si="4"/>
        <v>#VALUE!</v>
      </c>
      <c r="L72" s="640" t="e">
        <f>K72*'Emission Factors'!$D$136</f>
        <v>#VALUE!</v>
      </c>
      <c r="M72" s="641" t="e">
        <f>L72*'Emission Factors'!$E$12</f>
        <v>#VALUE!</v>
      </c>
      <c r="N72" s="642" t="e">
        <f>L72*'Emission Factors'!$D$12</f>
        <v>#VALUE!</v>
      </c>
      <c r="O72" s="643" t="e">
        <f>L72*'Emission Factors'!$F$12</f>
        <v>#VALUE!</v>
      </c>
    </row>
    <row r="73" spans="2:15" s="9" customFormat="1" ht="13.9" thickBot="1">
      <c r="B73" s="120" t="s">
        <v>1075</v>
      </c>
      <c r="C73" s="431"/>
      <c r="D73" s="431"/>
      <c r="E73" s="432"/>
      <c r="F73" s="431"/>
      <c r="G73" s="432"/>
      <c r="H73" s="432"/>
      <c r="I73" s="432"/>
      <c r="J73" s="432"/>
      <c r="K73" s="433">
        <f>SUMIF(K58:K72,"&lt;&gt;#VALUE!",K58:K72)</f>
        <v>0</v>
      </c>
      <c r="L73" s="1249">
        <f>SUMIF(L58:L72,"&lt;&gt;#VALUE!",L58:L72)</f>
        <v>0</v>
      </c>
      <c r="M73" s="1609">
        <f>SUMIF(M58:M72,"&lt;&gt;#VALUE!",M58:M72)</f>
        <v>0</v>
      </c>
      <c r="N73" s="1250">
        <f>SUMIF(N58:N72,"&lt;&gt;#VALUE!",N58:N72)</f>
        <v>0</v>
      </c>
      <c r="O73" s="1608">
        <f>SUMIF(O58:O72,"&lt;&gt;#VALUE!",O58:O72)</f>
        <v>0</v>
      </c>
    </row>
    <row r="74" spans="2:15" s="9" customFormat="1" ht="53.25" customHeight="1">
      <c r="B74" s="1951" t="s">
        <v>1076</v>
      </c>
      <c r="C74" s="1952"/>
      <c r="D74" s="1952"/>
      <c r="E74" s="1952"/>
      <c r="F74" s="427" t="s">
        <v>64</v>
      </c>
      <c r="G74" s="30"/>
      <c r="H74" s="30"/>
      <c r="I74" s="30"/>
      <c r="J74" s="30"/>
      <c r="K74" s="30"/>
      <c r="L74" s="30"/>
      <c r="M74" s="30"/>
      <c r="N74" s="30"/>
      <c r="O74" s="30"/>
    </row>
    <row r="75" spans="2:15" s="9" customFormat="1" ht="69.75" customHeight="1">
      <c r="B75" s="1953" t="s">
        <v>1077</v>
      </c>
      <c r="C75" s="1954"/>
      <c r="D75" s="1954"/>
      <c r="E75" s="1954"/>
      <c r="F75" s="413" t="s">
        <v>1078</v>
      </c>
      <c r="G75" s="1301"/>
      <c r="H75" s="30"/>
      <c r="I75" s="30"/>
      <c r="J75" s="30"/>
      <c r="K75" s="30"/>
      <c r="L75" s="30"/>
      <c r="M75" s="30"/>
      <c r="N75" s="30"/>
      <c r="O75" s="30"/>
    </row>
    <row r="76" spans="2:15" s="9" customFormat="1" ht="31.5" customHeight="1" thickBot="1">
      <c r="B76" s="1955" t="s">
        <v>1079</v>
      </c>
      <c r="C76" s="1907"/>
      <c r="D76" s="1907"/>
      <c r="E76" s="1907"/>
      <c r="F76" s="1414" t="s">
        <v>1080</v>
      </c>
      <c r="G76" s="30"/>
      <c r="H76" s="30"/>
      <c r="I76" s="30"/>
      <c r="J76" s="30"/>
      <c r="K76" s="30"/>
      <c r="L76" s="30"/>
      <c r="M76" s="30"/>
      <c r="N76" s="30"/>
      <c r="O76" s="30"/>
    </row>
    <row r="77" spans="2:15" s="9" customFormat="1" ht="13.9" thickBot="1">
      <c r="B77" s="406"/>
      <c r="C77" s="406"/>
      <c r="D77" s="406"/>
      <c r="E77" s="30"/>
      <c r="F77" s="406"/>
      <c r="G77" s="406"/>
      <c r="H77" s="406"/>
      <c r="I77" s="406"/>
      <c r="J77" s="30"/>
      <c r="K77" s="30"/>
      <c r="L77" s="30"/>
      <c r="M77" s="30"/>
      <c r="N77" s="30"/>
      <c r="O77" s="30"/>
    </row>
    <row r="78" spans="2:15" s="9" customFormat="1" ht="15.75" customHeight="1" thickBot="1">
      <c r="B78" s="1682" t="s">
        <v>1081</v>
      </c>
      <c r="C78" s="1717"/>
      <c r="D78" s="1717"/>
      <c r="E78" s="1717"/>
      <c r="F78" s="1717"/>
      <c r="G78" s="1717"/>
      <c r="H78" s="1717"/>
      <c r="I78" s="1717"/>
      <c r="J78" s="1717"/>
      <c r="K78" s="1717"/>
      <c r="L78" s="1717"/>
      <c r="M78" s="1670"/>
      <c r="N78" s="30"/>
      <c r="O78" s="30"/>
    </row>
    <row r="79" spans="2:15" s="9" customFormat="1" ht="52.9">
      <c r="B79" s="91" t="s">
        <v>1082</v>
      </c>
      <c r="C79" s="54" t="s">
        <v>1052</v>
      </c>
      <c r="D79" s="54" t="s">
        <v>1083</v>
      </c>
      <c r="E79" s="54" t="s">
        <v>1084</v>
      </c>
      <c r="F79" s="54" t="s">
        <v>1085</v>
      </c>
      <c r="G79" s="54" t="s">
        <v>1086</v>
      </c>
      <c r="H79" s="54" t="s">
        <v>1087</v>
      </c>
      <c r="I79" s="1467" t="s">
        <v>1088</v>
      </c>
      <c r="J79" s="227" t="s">
        <v>1020</v>
      </c>
      <c r="K79" s="130" t="s">
        <v>1021</v>
      </c>
      <c r="L79" s="130" t="s">
        <v>1022</v>
      </c>
      <c r="M79" s="55" t="s">
        <v>1023</v>
      </c>
      <c r="N79" s="30"/>
      <c r="O79" s="30"/>
    </row>
    <row r="80" spans="2:15" s="9" customFormat="1">
      <c r="B80" s="419" t="s">
        <v>174</v>
      </c>
      <c r="C80" s="438">
        <f>SUMIF($C$109:$C$207,"Food",$F$109:$F$207)</f>
        <v>0</v>
      </c>
      <c r="D80" s="438">
        <f>SUMIF($C$109:$C$207,"Food",$E$109:$E$207)</f>
        <v>0</v>
      </c>
      <c r="E80" s="420">
        <v>359.6</v>
      </c>
      <c r="F80" s="420">
        <v>1161</v>
      </c>
      <c r="G80" s="420">
        <v>14</v>
      </c>
      <c r="H80" s="439">
        <f>G80/F80</f>
        <v>1.2058570198105082E-2</v>
      </c>
      <c r="I80" s="451">
        <f>J80/'Emission Factors'!$D$136</f>
        <v>0</v>
      </c>
      <c r="J80" s="644">
        <f t="shared" ref="J80:J100" si="5">C80*E80*H80</f>
        <v>0</v>
      </c>
      <c r="K80" s="645">
        <f>$J80*'Emission Factors'!$E$12</f>
        <v>0</v>
      </c>
      <c r="L80" s="646">
        <f>J80*'Emission Factors'!$D$12</f>
        <v>0</v>
      </c>
      <c r="M80" s="647">
        <f>J80*'Emission Factors'!$F$12</f>
        <v>0</v>
      </c>
      <c r="N80" s="30"/>
      <c r="O80" s="30"/>
    </row>
    <row r="81" spans="2:15" s="9" customFormat="1">
      <c r="B81" s="419" t="s">
        <v>1089</v>
      </c>
      <c r="C81" s="438">
        <f>SUMIF($C$109:$C$207,"Beverage and Tobacco Products",$F$109:$F$207)</f>
        <v>0</v>
      </c>
      <c r="D81" s="438">
        <f>SUMIF($C$109:$C$207,"Beverage and Tobacco Products",$E$109:$E$207)</f>
        <v>0</v>
      </c>
      <c r="E81" s="420">
        <v>410.9</v>
      </c>
      <c r="F81" s="420">
        <v>118</v>
      </c>
      <c r="G81" s="420">
        <v>0</v>
      </c>
      <c r="H81" s="439">
        <f t="shared" ref="H81:H100" si="6">G81/F81</f>
        <v>0</v>
      </c>
      <c r="I81" s="451">
        <f>J81/'Emission Factors'!$D$136</f>
        <v>0</v>
      </c>
      <c r="J81" s="648">
        <f t="shared" si="5"/>
        <v>0</v>
      </c>
      <c r="K81" s="649">
        <f>$J81*'Emission Factors'!$E$12</f>
        <v>0</v>
      </c>
      <c r="L81" s="639">
        <f>J81*'Emission Factors'!$D$12</f>
        <v>0</v>
      </c>
      <c r="M81" s="650">
        <f>J81*'Emission Factors'!$F$12</f>
        <v>0</v>
      </c>
      <c r="N81" s="30"/>
      <c r="O81" s="30"/>
    </row>
    <row r="82" spans="2:15" s="9" customFormat="1">
      <c r="B82" s="419" t="s">
        <v>1090</v>
      </c>
      <c r="C82" s="438">
        <f>SUMIF($C$109:$C$207,"Textile Mills",$F$109:$F$207)</f>
        <v>0</v>
      </c>
      <c r="D82" s="438">
        <f>SUMIF($C$109:$C$207,"Textile Mills",$E$109:$E$207)</f>
        <v>0</v>
      </c>
      <c r="E82" s="420">
        <v>681.1</v>
      </c>
      <c r="F82" s="420">
        <v>64</v>
      </c>
      <c r="G82" s="420">
        <v>0</v>
      </c>
      <c r="H82" s="439">
        <f t="shared" si="6"/>
        <v>0</v>
      </c>
      <c r="I82" s="451">
        <f>J82/'Emission Factors'!$D$136</f>
        <v>0</v>
      </c>
      <c r="J82" s="648">
        <f t="shared" si="5"/>
        <v>0</v>
      </c>
      <c r="K82" s="649">
        <f>$J82*'Emission Factors'!$E$12</f>
        <v>0</v>
      </c>
      <c r="L82" s="639">
        <f>J82*'Emission Factors'!$D$12</f>
        <v>0</v>
      </c>
      <c r="M82" s="650">
        <f>J82*'Emission Factors'!$F$12</f>
        <v>0</v>
      </c>
      <c r="N82" s="30"/>
      <c r="O82" s="30"/>
    </row>
    <row r="83" spans="2:15" s="9" customFormat="1">
      <c r="B83" s="419" t="s">
        <v>1091</v>
      </c>
      <c r="C83" s="438">
        <f>SUMIF($C$109:$C$207,"Textile Product Mills",$F$109:$F$207)</f>
        <v>0</v>
      </c>
      <c r="D83" s="438">
        <f>SUMIF($C$109:$C$207,"Textile Product Mills",$E$109:$E$207)</f>
        <v>0</v>
      </c>
      <c r="E83" s="420">
        <v>219.4</v>
      </c>
      <c r="F83" s="420">
        <v>22</v>
      </c>
      <c r="G83" s="420">
        <v>0</v>
      </c>
      <c r="H83" s="439">
        <f t="shared" si="6"/>
        <v>0</v>
      </c>
      <c r="I83" s="451">
        <f>J83/'Emission Factors'!$D$136</f>
        <v>0</v>
      </c>
      <c r="J83" s="648">
        <f t="shared" si="5"/>
        <v>0</v>
      </c>
      <c r="K83" s="649">
        <f>$J83*'Emission Factors'!$E$12</f>
        <v>0</v>
      </c>
      <c r="L83" s="639">
        <f>J83*'Emission Factors'!$D$12</f>
        <v>0</v>
      </c>
      <c r="M83" s="650">
        <f>J83*'Emission Factors'!$F$12</f>
        <v>0</v>
      </c>
      <c r="N83" s="30"/>
      <c r="O83" s="30"/>
    </row>
    <row r="84" spans="2:15" s="9" customFormat="1">
      <c r="B84" s="419" t="s">
        <v>1092</v>
      </c>
      <c r="C84" s="438">
        <f>SUMIF($C$109:$C$207,"Apparel",$F$109:$F$207)</f>
        <v>0</v>
      </c>
      <c r="D84" s="438">
        <f>SUMIF($C$109:$C$207,"Apparel",$E$109:$E$207)</f>
        <v>0</v>
      </c>
      <c r="E84" s="420">
        <v>70.099999999999994</v>
      </c>
      <c r="F84" s="420">
        <v>4</v>
      </c>
      <c r="G84" s="420">
        <v>0</v>
      </c>
      <c r="H84" s="439">
        <f t="shared" si="6"/>
        <v>0</v>
      </c>
      <c r="I84" s="451">
        <f>J84/'Emission Factors'!$D$136</f>
        <v>0</v>
      </c>
      <c r="J84" s="648">
        <f t="shared" si="5"/>
        <v>0</v>
      </c>
      <c r="K84" s="649">
        <f>$J84*'Emission Factors'!$E$12</f>
        <v>0</v>
      </c>
      <c r="L84" s="639">
        <f>J84*'Emission Factors'!$D$12</f>
        <v>0</v>
      </c>
      <c r="M84" s="650">
        <f>J84*'Emission Factors'!$F$12</f>
        <v>0</v>
      </c>
      <c r="N84" s="30"/>
      <c r="O84" s="30"/>
    </row>
    <row r="85" spans="2:15" s="9" customFormat="1">
      <c r="B85" s="419" t="s">
        <v>1093</v>
      </c>
      <c r="C85" s="438">
        <f>SUMIF($C$109:$C$207,"Leather and Allied Products",$F$109:$F$207)</f>
        <v>0</v>
      </c>
      <c r="D85" s="438">
        <f>SUMIF($C$109:$C$207,"Leather and Allied Products",$E$109:$E$207)</f>
        <v>0</v>
      </c>
      <c r="E85" s="420">
        <v>111.1</v>
      </c>
      <c r="F85" s="420">
        <v>2</v>
      </c>
      <c r="G85" s="420">
        <v>0</v>
      </c>
      <c r="H85" s="439">
        <f t="shared" si="6"/>
        <v>0</v>
      </c>
      <c r="I85" s="451">
        <f>J85/'Emission Factors'!$D$136</f>
        <v>0</v>
      </c>
      <c r="J85" s="648">
        <f t="shared" si="5"/>
        <v>0</v>
      </c>
      <c r="K85" s="649">
        <f>$J85*'Emission Factors'!$E$12</f>
        <v>0</v>
      </c>
      <c r="L85" s="639">
        <f>J85*'Emission Factors'!$D$12</f>
        <v>0</v>
      </c>
      <c r="M85" s="650">
        <f>J85*'Emission Factors'!$F$12</f>
        <v>0</v>
      </c>
      <c r="N85" s="30"/>
      <c r="O85" s="30"/>
    </row>
    <row r="86" spans="2:15" s="9" customFormat="1">
      <c r="B86" s="419" t="s">
        <v>1094</v>
      </c>
      <c r="C86" s="438">
        <f>SUMIF($C$109:$C$207,"Wood Products",$F$109:$F$207)</f>
        <v>0</v>
      </c>
      <c r="D86" s="438">
        <f>SUMIF($C$109:$C$207,"Wood Products",$E$109:$E$207)</f>
        <v>0</v>
      </c>
      <c r="E86" s="420">
        <v>921.8</v>
      </c>
      <c r="F86" s="420">
        <v>388</v>
      </c>
      <c r="G86" s="420">
        <v>11</v>
      </c>
      <c r="H86" s="439">
        <f t="shared" si="6"/>
        <v>2.8350515463917526E-2</v>
      </c>
      <c r="I86" s="451">
        <f>J86/'Emission Factors'!$D$136</f>
        <v>0</v>
      </c>
      <c r="J86" s="648">
        <f t="shared" si="5"/>
        <v>0</v>
      </c>
      <c r="K86" s="649">
        <f>$J86*'Emission Factors'!$E$12</f>
        <v>0</v>
      </c>
      <c r="L86" s="639">
        <f>J86*'Emission Factors'!$D$12</f>
        <v>0</v>
      </c>
      <c r="M86" s="650">
        <f>J86*'Emission Factors'!$F$12</f>
        <v>0</v>
      </c>
      <c r="N86" s="30"/>
      <c r="O86" s="30"/>
    </row>
    <row r="87" spans="2:15" s="9" customFormat="1">
      <c r="B87" s="419" t="s">
        <v>176</v>
      </c>
      <c r="C87" s="438">
        <f>SUMIF($C$109:$C$207,"Paper",$F$109:$F$207)</f>
        <v>0</v>
      </c>
      <c r="D87" s="438">
        <f>SUMIF($C$109:$C$207,"Paper",$E$109:$E$207)</f>
        <v>0</v>
      </c>
      <c r="E87" s="420">
        <v>3785.7</v>
      </c>
      <c r="F87" s="420">
        <v>2041</v>
      </c>
      <c r="G87" s="420">
        <v>4</v>
      </c>
      <c r="H87" s="439">
        <f t="shared" si="6"/>
        <v>1.9598236158745713E-3</v>
      </c>
      <c r="I87" s="451">
        <f>J87/'Emission Factors'!$D$136</f>
        <v>0</v>
      </c>
      <c r="J87" s="648">
        <f t="shared" si="5"/>
        <v>0</v>
      </c>
      <c r="K87" s="649">
        <f>$J87*'Emission Factors'!$E$12</f>
        <v>0</v>
      </c>
      <c r="L87" s="639">
        <f>J87*'Emission Factors'!$D$12</f>
        <v>0</v>
      </c>
      <c r="M87" s="650">
        <f>J87*'Emission Factors'!$F$12</f>
        <v>0</v>
      </c>
      <c r="N87" s="30"/>
      <c r="O87" s="30"/>
    </row>
    <row r="88" spans="2:15" s="9" customFormat="1">
      <c r="B88" s="419" t="s">
        <v>1095</v>
      </c>
      <c r="C88" s="438">
        <f>SUMIF($C$109:$C$207,"Printing and Related Support",$F$109:$F$207)</f>
        <v>0</v>
      </c>
      <c r="D88" s="438">
        <f>SUMIF($C$109:$C$207,"Printing and Related Support",$E$109:$E$207)</f>
        <v>0</v>
      </c>
      <c r="E88" s="420">
        <v>162.80000000000001</v>
      </c>
      <c r="F88" s="420">
        <v>60</v>
      </c>
      <c r="G88" s="420">
        <v>0</v>
      </c>
      <c r="H88" s="439">
        <f t="shared" si="6"/>
        <v>0</v>
      </c>
      <c r="I88" s="451">
        <f>J88/'Emission Factors'!$D$136</f>
        <v>0</v>
      </c>
      <c r="J88" s="648">
        <f t="shared" si="5"/>
        <v>0</v>
      </c>
      <c r="K88" s="649">
        <f>$J88*'Emission Factors'!$E$12</f>
        <v>0</v>
      </c>
      <c r="L88" s="639">
        <f>J88*'Emission Factors'!$D$12</f>
        <v>0</v>
      </c>
      <c r="M88" s="650">
        <f>J88*'Emission Factors'!$F$12</f>
        <v>0</v>
      </c>
      <c r="N88" s="30"/>
      <c r="O88" s="30"/>
    </row>
    <row r="89" spans="2:15" s="9" customFormat="1">
      <c r="B89" s="419" t="s">
        <v>1096</v>
      </c>
      <c r="C89" s="438">
        <f>SUMIF($C$109:$C$207,"Petroleum and Coal Products",$F$109:$F$207)</f>
        <v>0</v>
      </c>
      <c r="D89" s="438">
        <f>SUMIF($C$109:$C$207,"Petroleum and Coal Products",$E$109:$E$207)</f>
        <v>0</v>
      </c>
      <c r="E89" s="420">
        <v>13764.8</v>
      </c>
      <c r="F89" s="420">
        <v>4245</v>
      </c>
      <c r="G89" s="420">
        <v>14</v>
      </c>
      <c r="H89" s="439">
        <f t="shared" si="6"/>
        <v>3.2979976442873969E-3</v>
      </c>
      <c r="I89" s="451">
        <f>J89/'Emission Factors'!$D$136</f>
        <v>0</v>
      </c>
      <c r="J89" s="648">
        <f t="shared" si="5"/>
        <v>0</v>
      </c>
      <c r="K89" s="649">
        <f>$J89*'Emission Factors'!$E$12</f>
        <v>0</v>
      </c>
      <c r="L89" s="639">
        <f>J89*'Emission Factors'!$D$12</f>
        <v>0</v>
      </c>
      <c r="M89" s="650">
        <f>J89*'Emission Factors'!$F$12</f>
        <v>0</v>
      </c>
      <c r="N89" s="30"/>
      <c r="O89" s="30"/>
    </row>
    <row r="90" spans="2:15" s="9" customFormat="1">
      <c r="B90" s="419" t="s">
        <v>1097</v>
      </c>
      <c r="C90" s="438">
        <f>SUMIF($C$109:$C$207,"Chemicals",$F$109:$F$207)</f>
        <v>0</v>
      </c>
      <c r="D90" s="438">
        <f>SUMIF($C$109:$C$207,"Chemicals",$E$109:$E$207)</f>
        <v>0</v>
      </c>
      <c r="E90" s="420">
        <v>1005.8</v>
      </c>
      <c r="F90" s="420">
        <v>7141</v>
      </c>
      <c r="G90" s="420">
        <v>6</v>
      </c>
      <c r="H90" s="439">
        <f t="shared" si="6"/>
        <v>8.4021845679876765E-4</v>
      </c>
      <c r="I90" s="451">
        <f>J90/'Emission Factors'!$D$136</f>
        <v>0</v>
      </c>
      <c r="J90" s="648">
        <f t="shared" si="5"/>
        <v>0</v>
      </c>
      <c r="K90" s="649">
        <f>$J90*'Emission Factors'!$E$12</f>
        <v>0</v>
      </c>
      <c r="L90" s="639">
        <f>J90*'Emission Factors'!$D$12</f>
        <v>0</v>
      </c>
      <c r="M90" s="650">
        <f>J90*'Emission Factors'!$F$12</f>
        <v>0</v>
      </c>
      <c r="N90" s="30"/>
      <c r="O90" s="30"/>
    </row>
    <row r="91" spans="2:15" s="9" customFormat="1">
      <c r="B91" s="419" t="s">
        <v>1098</v>
      </c>
      <c r="C91" s="438">
        <f>SUMIF($C$109:$C$207,"Plastics and Rubber Products",$F$109:$F$207)</f>
        <v>0</v>
      </c>
      <c r="D91" s="438">
        <f>SUMIF($C$109:$C$207,"Plastics and Rubber Products",$E$109:$E$207)</f>
        <v>0</v>
      </c>
      <c r="E91" s="420">
        <v>316.3</v>
      </c>
      <c r="F91" s="420">
        <v>257</v>
      </c>
      <c r="G91" s="420">
        <v>0</v>
      </c>
      <c r="H91" s="439">
        <f t="shared" si="6"/>
        <v>0</v>
      </c>
      <c r="I91" s="451">
        <f>J91/'Emission Factors'!$D$136</f>
        <v>0</v>
      </c>
      <c r="J91" s="648">
        <f t="shared" si="5"/>
        <v>0</v>
      </c>
      <c r="K91" s="649">
        <f>$J91*'Emission Factors'!$E$12</f>
        <v>0</v>
      </c>
      <c r="L91" s="639">
        <f>J91*'Emission Factors'!$D$12</f>
        <v>0</v>
      </c>
      <c r="M91" s="650">
        <f>J91*'Emission Factors'!$F$12</f>
        <v>0</v>
      </c>
      <c r="N91" s="30"/>
      <c r="O91" s="30"/>
    </row>
    <row r="92" spans="2:15" s="9" customFormat="1">
      <c r="B92" s="419" t="s">
        <v>1099</v>
      </c>
      <c r="C92" s="438">
        <f>SUMIF($C$109:$C$207,"Nonmetallic Mineral Products",$F$109:$F$207)</f>
        <v>0</v>
      </c>
      <c r="D92" s="438">
        <f>SUMIF($C$109:$C$207,"Nonmetallic Mineral Products",$E$109:$E$207)</f>
        <v>0</v>
      </c>
      <c r="E92" s="420">
        <v>1316.8</v>
      </c>
      <c r="F92" s="420">
        <v>846</v>
      </c>
      <c r="G92" s="420">
        <v>20</v>
      </c>
      <c r="H92" s="439">
        <f t="shared" si="6"/>
        <v>2.3640661938534278E-2</v>
      </c>
      <c r="I92" s="451">
        <f>J92/'Emission Factors'!$D$136</f>
        <v>0</v>
      </c>
      <c r="J92" s="648">
        <f t="shared" si="5"/>
        <v>0</v>
      </c>
      <c r="K92" s="649">
        <f>$J92*'Emission Factors'!$E$12</f>
        <v>0</v>
      </c>
      <c r="L92" s="639">
        <f>J92*'Emission Factors'!$D$12</f>
        <v>0</v>
      </c>
      <c r="M92" s="650">
        <f>J92*'Emission Factors'!$F$12</f>
        <v>0</v>
      </c>
      <c r="N92" s="30"/>
      <c r="O92" s="30"/>
    </row>
    <row r="93" spans="2:15" s="9" customFormat="1">
      <c r="B93" s="419" t="s">
        <v>1100</v>
      </c>
      <c r="C93" s="438">
        <f>SUMIF($C$109:$C$207,"Primary Metals",$F$109:$F$207)</f>
        <v>0</v>
      </c>
      <c r="D93" s="438">
        <f>SUMIF($C$109:$C$207,"Primary Metals",$E$109:$E$207)</f>
        <v>0</v>
      </c>
      <c r="E93" s="420">
        <v>2054.6999999999998</v>
      </c>
      <c r="F93" s="420">
        <v>1511</v>
      </c>
      <c r="G93" s="420">
        <v>6</v>
      </c>
      <c r="H93" s="439">
        <f t="shared" si="6"/>
        <v>3.9708802117802778E-3</v>
      </c>
      <c r="I93" s="451">
        <f>J93/'Emission Factors'!$D$136</f>
        <v>0</v>
      </c>
      <c r="J93" s="648">
        <f t="shared" si="5"/>
        <v>0</v>
      </c>
      <c r="K93" s="649">
        <f>$J93*'Emission Factors'!$E$12</f>
        <v>0</v>
      </c>
      <c r="L93" s="639">
        <f>J93*'Emission Factors'!$D$12</f>
        <v>0</v>
      </c>
      <c r="M93" s="650">
        <f>J93*'Emission Factors'!$F$12</f>
        <v>0</v>
      </c>
      <c r="N93" s="30"/>
      <c r="O93" s="30"/>
    </row>
    <row r="94" spans="2:15" s="9" customFormat="1">
      <c r="B94" s="419" t="s">
        <v>1101</v>
      </c>
      <c r="C94" s="438">
        <f>SUMIF($C$109:$C$207,"Fabricated Metal Products",$F$109:$F$207)</f>
        <v>0</v>
      </c>
      <c r="D94" s="438">
        <f>SUMIF($C$109:$C$207,"Fabricated Metal Products",$E$109:$E$207)</f>
        <v>0</v>
      </c>
      <c r="E94" s="420">
        <v>132.1</v>
      </c>
      <c r="F94" s="420">
        <v>257</v>
      </c>
      <c r="G94" s="420">
        <v>2</v>
      </c>
      <c r="H94" s="439">
        <f t="shared" si="6"/>
        <v>7.7821011673151752E-3</v>
      </c>
      <c r="I94" s="451">
        <f>J94/'Emission Factors'!$D$136</f>
        <v>0</v>
      </c>
      <c r="J94" s="648">
        <f t="shared" si="5"/>
        <v>0</v>
      </c>
      <c r="K94" s="649">
        <f>$J94*'Emission Factors'!$E$12</f>
        <v>0</v>
      </c>
      <c r="L94" s="639">
        <f>J94*'Emission Factors'!$D$12</f>
        <v>0</v>
      </c>
      <c r="M94" s="650">
        <f>J94*'Emission Factors'!$F$12</f>
        <v>0</v>
      </c>
      <c r="N94" s="30"/>
      <c r="O94" s="30"/>
    </row>
    <row r="95" spans="2:15" s="9" customFormat="1">
      <c r="B95" s="419" t="s">
        <v>1102</v>
      </c>
      <c r="C95" s="438">
        <f>SUMIF($C$109:$C$207,"Machinery",$F$109:$F$207)</f>
        <v>0</v>
      </c>
      <c r="D95" s="438">
        <f>SUMIF($C$109:$C$207,"Machinery",$E$109:$E$207)</f>
        <v>0</v>
      </c>
      <c r="E95" s="420">
        <v>71.3</v>
      </c>
      <c r="F95" s="420">
        <v>148</v>
      </c>
      <c r="G95" s="420">
        <v>2</v>
      </c>
      <c r="H95" s="439">
        <f t="shared" si="6"/>
        <v>1.3513513513513514E-2</v>
      </c>
      <c r="I95" s="451">
        <f>J95/'Emission Factors'!$D$136</f>
        <v>0</v>
      </c>
      <c r="J95" s="648">
        <f t="shared" si="5"/>
        <v>0</v>
      </c>
      <c r="K95" s="649">
        <f>$J95*'Emission Factors'!$E$12</f>
        <v>0</v>
      </c>
      <c r="L95" s="639">
        <f>J95*'Emission Factors'!$D$12</f>
        <v>0</v>
      </c>
      <c r="M95" s="650">
        <f>J95*'Emission Factors'!$F$12</f>
        <v>0</v>
      </c>
      <c r="N95" s="30"/>
      <c r="O95" s="30"/>
    </row>
    <row r="96" spans="2:15" s="9" customFormat="1">
      <c r="B96" s="419" t="s">
        <v>1103</v>
      </c>
      <c r="C96" s="438">
        <f>SUMIF($C$109:$C$207,"Computer and Electronic Products",$F$109:$F$207)</f>
        <v>0</v>
      </c>
      <c r="D96" s="438">
        <f>SUMIF($C$109:$C$207,"Computer and Electronic Products",$E$109:$E$207)</f>
        <v>0</v>
      </c>
      <c r="E96" s="420">
        <v>115.6</v>
      </c>
      <c r="F96" s="420">
        <v>110</v>
      </c>
      <c r="G96" s="420">
        <v>0</v>
      </c>
      <c r="H96" s="439">
        <f t="shared" si="6"/>
        <v>0</v>
      </c>
      <c r="I96" s="451">
        <f>J96/'Emission Factors'!$D$136</f>
        <v>0</v>
      </c>
      <c r="J96" s="648">
        <f t="shared" si="5"/>
        <v>0</v>
      </c>
      <c r="K96" s="649">
        <f>$J96*'Emission Factors'!$E$12</f>
        <v>0</v>
      </c>
      <c r="L96" s="639">
        <f>J96*'Emission Factors'!$D$12</f>
        <v>0</v>
      </c>
      <c r="M96" s="650">
        <f>J96*'Emission Factors'!$F$12</f>
        <v>0</v>
      </c>
      <c r="N96" s="30"/>
      <c r="O96" s="30"/>
    </row>
    <row r="97" spans="2:15" s="9" customFormat="1">
      <c r="B97" s="419" t="s">
        <v>1104</v>
      </c>
      <c r="C97" s="438">
        <f>SUMIF($C$109:$C$207,"Electrical Equip., Appliances, and Components",$F$109:$F$207)</f>
        <v>0</v>
      </c>
      <c r="D97" s="438">
        <f>SUMIF($C$109:$C$207,"Electrical Equip., Appliances, and Components",$E$109:$E$207)</f>
        <v>0</v>
      </c>
      <c r="E97" s="420">
        <v>191.2</v>
      </c>
      <c r="F97" s="420">
        <v>85</v>
      </c>
      <c r="G97" s="420">
        <v>0</v>
      </c>
      <c r="H97" s="439">
        <f t="shared" si="6"/>
        <v>0</v>
      </c>
      <c r="I97" s="451">
        <f>J97/'Emission Factors'!$D$136</f>
        <v>0</v>
      </c>
      <c r="J97" s="648">
        <f t="shared" si="5"/>
        <v>0</v>
      </c>
      <c r="K97" s="649">
        <f>$J97*'Emission Factors'!$E$12</f>
        <v>0</v>
      </c>
      <c r="L97" s="639">
        <f>J97*'Emission Factors'!$D$12</f>
        <v>0</v>
      </c>
      <c r="M97" s="650">
        <f>J97*'Emission Factors'!$F$12</f>
        <v>0</v>
      </c>
      <c r="N97" s="30"/>
      <c r="O97" s="30"/>
    </row>
    <row r="98" spans="2:15" s="9" customFormat="1">
      <c r="B98" s="419" t="s">
        <v>1105</v>
      </c>
      <c r="C98" s="438">
        <f>SUMIF($C$109:$C$207,"Transportation Equipment",$F$109:$F$207)</f>
        <v>0</v>
      </c>
      <c r="D98" s="438">
        <f>SUMIF($C$109:$C$207,"Transportation Equipment",$E$109:$E$207)</f>
        <v>0</v>
      </c>
      <c r="E98" s="420">
        <v>266.5</v>
      </c>
      <c r="F98" s="420">
        <v>348</v>
      </c>
      <c r="G98" s="420">
        <v>4</v>
      </c>
      <c r="H98" s="439">
        <f t="shared" si="6"/>
        <v>1.1494252873563218E-2</v>
      </c>
      <c r="I98" s="451">
        <f>J98/'Emission Factors'!$D$136</f>
        <v>0</v>
      </c>
      <c r="J98" s="648">
        <f t="shared" si="5"/>
        <v>0</v>
      </c>
      <c r="K98" s="649">
        <f>$J98*'Emission Factors'!$E$12</f>
        <v>0</v>
      </c>
      <c r="L98" s="639">
        <f>J98*'Emission Factors'!$D$12</f>
        <v>0</v>
      </c>
      <c r="M98" s="650">
        <f>J98*'Emission Factors'!$F$12</f>
        <v>0</v>
      </c>
      <c r="N98" s="30"/>
      <c r="O98" s="30"/>
    </row>
    <row r="99" spans="2:15" s="9" customFormat="1">
      <c r="B99" s="419" t="s">
        <v>1106</v>
      </c>
      <c r="C99" s="438">
        <f>SUMIF($C$109:$C$207,"Furniture and Related Products",$F$109:$F$207)</f>
        <v>0</v>
      </c>
      <c r="D99" s="438">
        <f>SUMIF($C$109:$C$207,"Furniture and Related Products",$E$109:$E$207)</f>
        <v>0</v>
      </c>
      <c r="E99" s="420">
        <v>71.8</v>
      </c>
      <c r="F99" s="420">
        <v>37</v>
      </c>
      <c r="G99" s="420">
        <v>0</v>
      </c>
      <c r="H99" s="439">
        <f t="shared" si="6"/>
        <v>0</v>
      </c>
      <c r="I99" s="451">
        <f>J99/'Emission Factors'!$D$136</f>
        <v>0</v>
      </c>
      <c r="J99" s="648">
        <f t="shared" si="5"/>
        <v>0</v>
      </c>
      <c r="K99" s="649">
        <f>$J99*'Emission Factors'!$E$12</f>
        <v>0</v>
      </c>
      <c r="L99" s="639">
        <f>J99*'Emission Factors'!$D$12</f>
        <v>0</v>
      </c>
      <c r="M99" s="650">
        <f>J99*'Emission Factors'!$F$12</f>
        <v>0</v>
      </c>
      <c r="N99" s="30"/>
      <c r="O99" s="30"/>
    </row>
    <row r="100" spans="2:15" s="9" customFormat="1" ht="13.9" thickBot="1">
      <c r="B100" s="419" t="s">
        <v>1107</v>
      </c>
      <c r="C100" s="438">
        <f>SUMIF($C$109:$C$207,"Miscellaneous",$F$109:$F$207)</f>
        <v>0</v>
      </c>
      <c r="D100" s="438">
        <f>SUMIF($C$109:$C$207,"Miscellaneous",$E$109:$E$207)</f>
        <v>0</v>
      </c>
      <c r="E100" s="420">
        <v>97.2</v>
      </c>
      <c r="F100" s="420">
        <v>61</v>
      </c>
      <c r="G100" s="420">
        <v>0</v>
      </c>
      <c r="H100" s="439">
        <f t="shared" si="6"/>
        <v>0</v>
      </c>
      <c r="I100" s="451">
        <f>J100/'Emission Factors'!$D$136</f>
        <v>0</v>
      </c>
      <c r="J100" s="651">
        <f t="shared" si="5"/>
        <v>0</v>
      </c>
      <c r="K100" s="652">
        <f>$J100*'Emission Factors'!$E$12</f>
        <v>0</v>
      </c>
      <c r="L100" s="642">
        <f>J100*'Emission Factors'!$D$12</f>
        <v>0</v>
      </c>
      <c r="M100" s="653">
        <f>J100*'Emission Factors'!$F$12</f>
        <v>0</v>
      </c>
      <c r="N100" s="30"/>
      <c r="O100" s="30"/>
    </row>
    <row r="101" spans="2:15" s="9" customFormat="1" ht="13.9" thickBot="1">
      <c r="B101" s="120" t="s">
        <v>1108</v>
      </c>
      <c r="C101" s="431"/>
      <c r="D101" s="431"/>
      <c r="E101" s="432"/>
      <c r="F101" s="431"/>
      <c r="G101" s="432"/>
      <c r="H101" s="432"/>
      <c r="I101" s="433">
        <f>SUM(I80:I100)</f>
        <v>0</v>
      </c>
      <c r="J101" s="434">
        <f>SUM(J80:J100)</f>
        <v>0</v>
      </c>
      <c r="K101" s="445">
        <f>SUM(K80:K100)</f>
        <v>0</v>
      </c>
      <c r="L101" s="63">
        <f>SUM(L80:L100)</f>
        <v>0</v>
      </c>
      <c r="M101" s="446">
        <f>SUM(M80:M100)</f>
        <v>0</v>
      </c>
      <c r="N101" s="30"/>
      <c r="O101" s="30"/>
    </row>
    <row r="102" spans="2:15" s="9" customFormat="1" ht="56.25" customHeight="1">
      <c r="B102" s="1686" t="s">
        <v>1076</v>
      </c>
      <c r="C102" s="1687"/>
      <c r="D102" s="1687"/>
      <c r="E102" s="1687"/>
      <c r="F102" s="412" t="s">
        <v>64</v>
      </c>
      <c r="G102" s="30"/>
      <c r="H102" s="30"/>
      <c r="I102" s="30"/>
      <c r="J102" s="30"/>
      <c r="K102" s="30"/>
      <c r="L102" s="30"/>
      <c r="M102" s="30"/>
      <c r="N102" s="30"/>
      <c r="O102" s="30"/>
    </row>
    <row r="103" spans="2:15" s="9" customFormat="1" ht="45" customHeight="1">
      <c r="B103" s="1953" t="s">
        <v>1109</v>
      </c>
      <c r="C103" s="1954"/>
      <c r="D103" s="1954"/>
      <c r="E103" s="1954"/>
      <c r="F103" s="413" t="s">
        <v>1110</v>
      </c>
      <c r="G103" s="1301"/>
      <c r="H103" s="30"/>
      <c r="I103" s="30"/>
      <c r="J103" s="30"/>
      <c r="K103" s="30"/>
      <c r="L103" s="30"/>
      <c r="M103" s="30"/>
      <c r="N103" s="30"/>
      <c r="O103" s="30"/>
    </row>
    <row r="104" spans="2:15" s="9" customFormat="1" ht="35.25" customHeight="1">
      <c r="B104" s="1953" t="s">
        <v>1111</v>
      </c>
      <c r="C104" s="1954"/>
      <c r="D104" s="1954"/>
      <c r="E104" s="1954"/>
      <c r="F104" s="413" t="s">
        <v>1112</v>
      </c>
      <c r="G104" s="30"/>
      <c r="H104" s="30"/>
      <c r="I104" s="30"/>
      <c r="J104" s="30"/>
      <c r="K104" s="30"/>
      <c r="L104" s="30"/>
      <c r="M104" s="30"/>
      <c r="N104" s="30"/>
      <c r="O104" s="30"/>
    </row>
    <row r="105" spans="2:15" s="9" customFormat="1" ht="46.9" customHeight="1" thickBot="1">
      <c r="B105" s="1955" t="s">
        <v>1113</v>
      </c>
      <c r="C105" s="1907"/>
      <c r="D105" s="1907"/>
      <c r="E105" s="1907"/>
      <c r="F105" s="1414" t="s">
        <v>1114</v>
      </c>
      <c r="G105" s="406"/>
      <c r="H105" s="406"/>
      <c r="I105" s="406"/>
      <c r="J105" s="30"/>
      <c r="K105" s="30"/>
      <c r="L105" s="30"/>
      <c r="M105" s="30"/>
      <c r="N105" s="30"/>
      <c r="O105" s="30"/>
    </row>
    <row r="106" spans="2:15" s="9" customFormat="1" ht="13.9" thickBot="1">
      <c r="B106" s="406"/>
      <c r="C106" s="406"/>
      <c r="D106" s="406"/>
      <c r="E106" s="30"/>
      <c r="F106" s="406"/>
      <c r="G106" s="406"/>
      <c r="H106" s="406"/>
      <c r="I106" s="406"/>
      <c r="J106" s="30"/>
      <c r="K106" s="30"/>
      <c r="L106" s="30"/>
      <c r="M106" s="30"/>
      <c r="N106" s="30"/>
      <c r="O106" s="30"/>
    </row>
    <row r="107" spans="2:15" s="9" customFormat="1" ht="21" customHeight="1" thickBot="1">
      <c r="B107" s="1682" t="s">
        <v>1115</v>
      </c>
      <c r="C107" s="1715"/>
      <c r="D107" s="1715"/>
      <c r="E107" s="1715"/>
      <c r="F107" s="1716"/>
      <c r="G107" s="482"/>
      <c r="H107" s="482"/>
      <c r="I107" s="482"/>
      <c r="J107" s="482"/>
      <c r="K107" s="482"/>
      <c r="L107" s="482"/>
      <c r="M107" s="482"/>
      <c r="N107" s="482"/>
      <c r="O107" s="482"/>
    </row>
    <row r="108" spans="2:15" s="9" customFormat="1" ht="73.5" customHeight="1">
      <c r="B108" s="1470" t="s">
        <v>1116</v>
      </c>
      <c r="C108" s="311" t="s">
        <v>1117</v>
      </c>
      <c r="D108" s="311" t="s">
        <v>396</v>
      </c>
      <c r="E108" s="1179" t="s">
        <v>1118</v>
      </c>
      <c r="F108" s="1141" t="s">
        <v>1119</v>
      </c>
      <c r="G108" s="482"/>
      <c r="H108" s="482"/>
      <c r="I108" s="482"/>
      <c r="J108" s="482"/>
      <c r="K108" s="482"/>
      <c r="L108" s="482"/>
      <c r="M108" s="482"/>
      <c r="N108" s="482"/>
      <c r="O108" s="482"/>
    </row>
    <row r="109" spans="2:15" s="9" customFormat="1">
      <c r="B109" s="1302">
        <v>111</v>
      </c>
      <c r="C109" s="443" t="s">
        <v>1120</v>
      </c>
      <c r="D109" s="437" t="s">
        <v>1121</v>
      </c>
      <c r="E109" s="437" t="str">
        <f>IFERROR(INDEX(Inputs!$C$70:$C$173,MATCH('Stationary Energy - Buildings'!$B109,Inputs!$B$70:$B$173,0)),"N/A")</f>
        <v>N/A</v>
      </c>
      <c r="F109" s="1303" t="str">
        <f>IFERROR(INDEX(Inputs!$D$70:$D$173,MATCH('Stationary Energy - Buildings'!$B109,Inputs!$B$70:$B$173,0)),"N/A")</f>
        <v>N/A</v>
      </c>
      <c r="G109" s="482"/>
      <c r="H109" s="482"/>
      <c r="I109" s="482"/>
      <c r="J109" s="482"/>
      <c r="K109" s="482"/>
      <c r="L109" s="482"/>
      <c r="M109" s="482"/>
      <c r="N109" s="482"/>
      <c r="O109" s="482"/>
    </row>
    <row r="110" spans="2:15" s="9" customFormat="1">
      <c r="B110" s="1302">
        <v>112</v>
      </c>
      <c r="C110" s="443" t="s">
        <v>1122</v>
      </c>
      <c r="D110" s="437" t="s">
        <v>1121</v>
      </c>
      <c r="E110" s="437" t="str">
        <f>IFERROR(INDEX(Inputs!$C$70:$C$173,MATCH('Stationary Energy - Buildings'!$B110,Inputs!$B$70:$B$173,0)),"N/A")</f>
        <v>N/A</v>
      </c>
      <c r="F110" s="1303" t="str">
        <f>IFERROR(INDEX(Inputs!$D$70:$D$173,MATCH('Stationary Energy - Buildings'!$B110,Inputs!$B$70:$B$173,0)),"N/A")</f>
        <v>N/A</v>
      </c>
      <c r="G110" s="482"/>
      <c r="H110" s="482"/>
      <c r="I110" s="482"/>
      <c r="J110" s="482"/>
      <c r="K110" s="482"/>
      <c r="L110" s="482"/>
      <c r="M110" s="482"/>
      <c r="N110" s="482"/>
      <c r="O110" s="482"/>
    </row>
    <row r="111" spans="2:15" s="9" customFormat="1">
      <c r="B111" s="1302">
        <v>113</v>
      </c>
      <c r="C111" s="443" t="s">
        <v>1123</v>
      </c>
      <c r="D111" s="437" t="s">
        <v>1121</v>
      </c>
      <c r="E111" s="437" t="str">
        <f>IFERROR(INDEX(Inputs!$C$70:$C$173,MATCH('Stationary Energy - Buildings'!$B111,Inputs!$B$70:$B$173,0)),"N/A")</f>
        <v>N/A</v>
      </c>
      <c r="F111" s="1303" t="str">
        <f>IFERROR(INDEX(Inputs!$D$70:$D$173,MATCH('Stationary Energy - Buildings'!$B111,Inputs!$B$70:$B$173,0)),"N/A")</f>
        <v>N/A</v>
      </c>
      <c r="G111" s="482"/>
      <c r="H111" s="482"/>
      <c r="I111" s="482"/>
      <c r="J111" s="482"/>
      <c r="K111" s="482"/>
      <c r="L111" s="482"/>
      <c r="M111" s="482"/>
      <c r="N111" s="482"/>
      <c r="O111" s="482"/>
    </row>
    <row r="112" spans="2:15" s="9" customFormat="1">
      <c r="B112" s="1302">
        <v>114</v>
      </c>
      <c r="C112" s="443" t="s">
        <v>1124</v>
      </c>
      <c r="D112" s="437" t="s">
        <v>1121</v>
      </c>
      <c r="E112" s="437" t="str">
        <f>IFERROR(INDEX(Inputs!$C$70:$C$173,MATCH('Stationary Energy - Buildings'!$B112,Inputs!$B$70:$B$173,0)),"N/A")</f>
        <v>N/A</v>
      </c>
      <c r="F112" s="1303" t="str">
        <f>IFERROR(INDEX(Inputs!$D$70:$D$173,MATCH('Stationary Energy - Buildings'!$B112,Inputs!$B$70:$B$173,0)),"N/A")</f>
        <v>N/A</v>
      </c>
      <c r="G112" s="482"/>
      <c r="H112" s="482"/>
      <c r="I112" s="482"/>
      <c r="J112" s="482"/>
      <c r="K112" s="482"/>
      <c r="L112" s="482"/>
      <c r="M112" s="482"/>
      <c r="N112" s="482"/>
      <c r="O112" s="482"/>
    </row>
    <row r="113" spans="2:15" s="9" customFormat="1">
      <c r="B113" s="1302">
        <v>115</v>
      </c>
      <c r="C113" s="443" t="s">
        <v>1125</v>
      </c>
      <c r="D113" s="437" t="s">
        <v>1121</v>
      </c>
      <c r="E113" s="437" t="str">
        <f>IFERROR(INDEX(Inputs!$C$70:$C$173,MATCH('Stationary Energy - Buildings'!$B113,Inputs!$B$70:$B$173,0)),"N/A")</f>
        <v>N/A</v>
      </c>
      <c r="F113" s="1303" t="str">
        <f>IFERROR(INDEX(Inputs!$D$70:$D$173,MATCH('Stationary Energy - Buildings'!$B113,Inputs!$B$70:$B$173,0)),"N/A")</f>
        <v>N/A</v>
      </c>
      <c r="G113" s="482"/>
      <c r="H113" s="482"/>
      <c r="I113" s="482"/>
      <c r="J113" s="482"/>
      <c r="K113" s="482"/>
      <c r="L113" s="482"/>
      <c r="M113" s="482"/>
      <c r="N113" s="482"/>
      <c r="O113" s="482"/>
    </row>
    <row r="114" spans="2:15" s="9" customFormat="1">
      <c r="B114" s="1302">
        <v>212</v>
      </c>
      <c r="C114" s="443" t="s">
        <v>1126</v>
      </c>
      <c r="D114" s="437" t="s">
        <v>1121</v>
      </c>
      <c r="E114" s="437" t="str">
        <f>IFERROR(INDEX(Inputs!$C$70:$C$173,MATCH('Stationary Energy - Buildings'!$B114,Inputs!$B$70:$B$173,0)),"N/A")</f>
        <v>N/A</v>
      </c>
      <c r="F114" s="1303" t="str">
        <f>IFERROR(INDEX(Inputs!$D$70:$D$173,MATCH('Stationary Energy - Buildings'!$B114,Inputs!$B$70:$B$173,0)),"N/A")</f>
        <v>N/A</v>
      </c>
      <c r="G114" s="482"/>
      <c r="H114" s="482"/>
      <c r="I114" s="482"/>
      <c r="J114" s="482"/>
      <c r="K114" s="482"/>
      <c r="L114" s="482"/>
      <c r="M114" s="482"/>
      <c r="N114" s="482"/>
      <c r="O114" s="482"/>
    </row>
    <row r="115" spans="2:15" s="9" customFormat="1">
      <c r="B115" s="1302">
        <v>213</v>
      </c>
      <c r="C115" s="443" t="s">
        <v>1127</v>
      </c>
      <c r="D115" s="437" t="s">
        <v>1121</v>
      </c>
      <c r="E115" s="437" t="str">
        <f>IFERROR(INDEX(Inputs!$C$70:$C$173,MATCH('Stationary Energy - Buildings'!$B115,Inputs!$B$70:$B$173,0)),"N/A")</f>
        <v>N/A</v>
      </c>
      <c r="F115" s="1303" t="str">
        <f>IFERROR(INDEX(Inputs!$D$70:$D$173,MATCH('Stationary Energy - Buildings'!$B115,Inputs!$B$70:$B$173,0)),"N/A")</f>
        <v>N/A</v>
      </c>
      <c r="G115" s="482"/>
      <c r="H115" s="482"/>
      <c r="I115" s="482"/>
      <c r="J115" s="482"/>
      <c r="K115" s="482"/>
      <c r="L115" s="482"/>
      <c r="M115" s="482"/>
      <c r="N115" s="482"/>
      <c r="O115" s="482"/>
    </row>
    <row r="116" spans="2:15" s="9" customFormat="1">
      <c r="B116" s="1302">
        <v>221</v>
      </c>
      <c r="C116" s="443" t="s">
        <v>1128</v>
      </c>
      <c r="D116" s="437" t="s">
        <v>1121</v>
      </c>
      <c r="E116" s="437" t="str">
        <f>IFERROR(INDEX(Inputs!$C$70:$C$173,MATCH('Stationary Energy - Buildings'!$B116,Inputs!$B$70:$B$173,0)),"N/A")</f>
        <v>N/A</v>
      </c>
      <c r="F116" s="1303" t="str">
        <f>IFERROR(INDEX(Inputs!$D$70:$D$173,MATCH('Stationary Energy - Buildings'!$B116,Inputs!$B$70:$B$173,0)),"N/A")</f>
        <v>N/A</v>
      </c>
      <c r="G116" s="482"/>
      <c r="H116" s="482"/>
      <c r="I116" s="482"/>
      <c r="J116" s="482"/>
      <c r="K116" s="482"/>
      <c r="L116" s="482"/>
      <c r="M116" s="482"/>
      <c r="N116" s="482"/>
      <c r="O116" s="482"/>
    </row>
    <row r="117" spans="2:15" s="9" customFormat="1">
      <c r="B117" s="1302">
        <v>236</v>
      </c>
      <c r="C117" s="443" t="s">
        <v>1129</v>
      </c>
      <c r="D117" s="437" t="s">
        <v>1121</v>
      </c>
      <c r="E117" s="437" t="str">
        <f>IFERROR(INDEX(Inputs!$C$70:$C$173,MATCH('Stationary Energy - Buildings'!$B117,Inputs!$B$70:$B$173,0)),"N/A")</f>
        <v>N/A</v>
      </c>
      <c r="F117" s="1303" t="str">
        <f>IFERROR(INDEX(Inputs!$D$70:$D$173,MATCH('Stationary Energy - Buildings'!$B117,Inputs!$B$70:$B$173,0)),"N/A")</f>
        <v>N/A</v>
      </c>
      <c r="G117" s="482"/>
      <c r="H117" s="482"/>
      <c r="I117" s="482"/>
      <c r="J117" s="482"/>
      <c r="K117" s="482"/>
      <c r="L117" s="482"/>
      <c r="M117" s="482"/>
      <c r="N117" s="482"/>
      <c r="O117" s="482"/>
    </row>
    <row r="118" spans="2:15" s="9" customFormat="1">
      <c r="B118" s="1302">
        <v>237</v>
      </c>
      <c r="C118" s="443" t="s">
        <v>1130</v>
      </c>
      <c r="D118" s="437" t="s">
        <v>1121</v>
      </c>
      <c r="E118" s="437" t="str">
        <f>IFERROR(INDEX(Inputs!$C$70:$C$173,MATCH('Stationary Energy - Buildings'!$B118,Inputs!$B$70:$B$173,0)),"N/A")</f>
        <v>N/A</v>
      </c>
      <c r="F118" s="1303" t="str">
        <f>IFERROR(INDEX(Inputs!$D$70:$D$173,MATCH('Stationary Energy - Buildings'!$B118,Inputs!$B$70:$B$173,0)),"N/A")</f>
        <v>N/A</v>
      </c>
      <c r="G118" s="482"/>
      <c r="H118" s="482"/>
      <c r="I118" s="482"/>
      <c r="J118" s="482"/>
      <c r="K118" s="482"/>
      <c r="L118" s="482"/>
      <c r="M118" s="482"/>
      <c r="N118" s="482"/>
      <c r="O118" s="482"/>
    </row>
    <row r="119" spans="2:15" s="9" customFormat="1">
      <c r="B119" s="1302">
        <v>238</v>
      </c>
      <c r="C119" s="443" t="s">
        <v>1131</v>
      </c>
      <c r="D119" s="437" t="s">
        <v>1121</v>
      </c>
      <c r="E119" s="437" t="str">
        <f>IFERROR(INDEX(Inputs!$C$70:$C$173,MATCH('Stationary Energy - Buildings'!$B119,Inputs!$B$70:$B$173,0)),"N/A")</f>
        <v>N/A</v>
      </c>
      <c r="F119" s="1303" t="str">
        <f>IFERROR(INDEX(Inputs!$D$70:$D$173,MATCH('Stationary Energy - Buildings'!$B119,Inputs!$B$70:$B$173,0)),"N/A")</f>
        <v>N/A</v>
      </c>
      <c r="G119" s="482"/>
      <c r="H119" s="482"/>
      <c r="I119" s="482"/>
      <c r="J119" s="482"/>
      <c r="K119" s="482"/>
      <c r="L119" s="482"/>
      <c r="M119" s="482"/>
      <c r="N119" s="482"/>
      <c r="O119" s="482"/>
    </row>
    <row r="120" spans="2:15" s="9" customFormat="1">
      <c r="B120" s="1302">
        <v>311</v>
      </c>
      <c r="C120" s="443" t="s">
        <v>174</v>
      </c>
      <c r="D120" s="437" t="s">
        <v>112</v>
      </c>
      <c r="E120" s="437" t="str">
        <f>IFERROR(INDEX(Inputs!$C$70:$C$173,MATCH('Stationary Energy - Buildings'!$B120,Inputs!$B$70:$B$173,0)),"N/A")</f>
        <v>N/A</v>
      </c>
      <c r="F120" s="1303" t="str">
        <f>IFERROR(INDEX(Inputs!$D$70:$D$173,MATCH('Stationary Energy - Buildings'!$B120,Inputs!$B$70:$B$173,0)),"N/A")</f>
        <v>N/A</v>
      </c>
      <c r="G120" s="482"/>
      <c r="H120" s="482"/>
      <c r="I120" s="482"/>
      <c r="J120" s="482"/>
      <c r="K120" s="482"/>
      <c r="L120" s="482"/>
      <c r="M120" s="482"/>
      <c r="N120" s="482"/>
      <c r="O120" s="482"/>
    </row>
    <row r="121" spans="2:15" s="9" customFormat="1">
      <c r="B121" s="1302">
        <v>312</v>
      </c>
      <c r="C121" s="443" t="s">
        <v>1089</v>
      </c>
      <c r="D121" s="437" t="s">
        <v>112</v>
      </c>
      <c r="E121" s="437" t="str">
        <f>IFERROR(INDEX(Inputs!$C$70:$C$173,MATCH('Stationary Energy - Buildings'!$B121,Inputs!$B$70:$B$173,0)),"N/A")</f>
        <v>N/A</v>
      </c>
      <c r="F121" s="1303" t="str">
        <f>IFERROR(INDEX(Inputs!$D$70:$D$173,MATCH('Stationary Energy - Buildings'!$B121,Inputs!$B$70:$B$173,0)),"N/A")</f>
        <v>N/A</v>
      </c>
      <c r="G121" s="482"/>
      <c r="H121" s="482"/>
      <c r="I121" s="482"/>
      <c r="J121" s="482"/>
      <c r="K121" s="482"/>
      <c r="L121" s="482"/>
      <c r="M121" s="482"/>
      <c r="N121" s="482"/>
      <c r="O121" s="482"/>
    </row>
    <row r="122" spans="2:15" s="9" customFormat="1">
      <c r="B122" s="1302">
        <v>313</v>
      </c>
      <c r="C122" s="443" t="s">
        <v>1090</v>
      </c>
      <c r="D122" s="437" t="s">
        <v>112</v>
      </c>
      <c r="E122" s="437" t="str">
        <f>IFERROR(INDEX(Inputs!$C$70:$C$173,MATCH('Stationary Energy - Buildings'!$B122,Inputs!$B$70:$B$173,0)),"N/A")</f>
        <v>N/A</v>
      </c>
      <c r="F122" s="1303" t="str">
        <f>IFERROR(INDEX(Inputs!$D$70:$D$173,MATCH('Stationary Energy - Buildings'!$B122,Inputs!$B$70:$B$173,0)),"N/A")</f>
        <v>N/A</v>
      </c>
      <c r="G122" s="482"/>
      <c r="H122" s="482"/>
      <c r="I122" s="482"/>
      <c r="J122" s="482"/>
      <c r="K122" s="482"/>
      <c r="L122" s="482"/>
      <c r="M122" s="482"/>
      <c r="N122" s="482"/>
      <c r="O122" s="482"/>
    </row>
    <row r="123" spans="2:15" s="9" customFormat="1">
      <c r="B123" s="1302">
        <v>314</v>
      </c>
      <c r="C123" s="443" t="s">
        <v>1091</v>
      </c>
      <c r="D123" s="437" t="s">
        <v>112</v>
      </c>
      <c r="E123" s="437" t="str">
        <f>IFERROR(INDEX(Inputs!$C$70:$C$173,MATCH('Stationary Energy - Buildings'!$B123,Inputs!$B$70:$B$173,0)),"N/A")</f>
        <v>N/A</v>
      </c>
      <c r="F123" s="1303" t="str">
        <f>IFERROR(INDEX(Inputs!$D$70:$D$173,MATCH('Stationary Energy - Buildings'!$B123,Inputs!$B$70:$B$173,0)),"N/A")</f>
        <v>N/A</v>
      </c>
      <c r="G123" s="482"/>
      <c r="H123" s="482"/>
      <c r="I123" s="482"/>
      <c r="J123" s="482"/>
      <c r="K123" s="482"/>
      <c r="L123" s="482"/>
      <c r="M123" s="482"/>
      <c r="N123" s="482"/>
      <c r="O123" s="482"/>
    </row>
    <row r="124" spans="2:15" s="9" customFormat="1">
      <c r="B124" s="1302">
        <v>315</v>
      </c>
      <c r="C124" s="443" t="s">
        <v>1092</v>
      </c>
      <c r="D124" s="437" t="s">
        <v>112</v>
      </c>
      <c r="E124" s="437" t="str">
        <f>IFERROR(INDEX(Inputs!$C$70:$C$173,MATCH('Stationary Energy - Buildings'!$B124,Inputs!$B$70:$B$173,0)),"N/A")</f>
        <v>N/A</v>
      </c>
      <c r="F124" s="1303" t="str">
        <f>IFERROR(INDEX(Inputs!$D$70:$D$173,MATCH('Stationary Energy - Buildings'!$B124,Inputs!$B$70:$B$173,0)),"N/A")</f>
        <v>N/A</v>
      </c>
      <c r="G124" s="482"/>
      <c r="H124" s="482"/>
      <c r="I124" s="482"/>
      <c r="J124" s="482"/>
      <c r="K124" s="482"/>
      <c r="L124" s="482"/>
      <c r="M124" s="482"/>
      <c r="N124" s="482"/>
      <c r="O124" s="482"/>
    </row>
    <row r="125" spans="2:15" s="9" customFormat="1">
      <c r="B125" s="1302">
        <v>316</v>
      </c>
      <c r="C125" s="443" t="s">
        <v>1093</v>
      </c>
      <c r="D125" s="437" t="s">
        <v>112</v>
      </c>
      <c r="E125" s="437" t="str">
        <f>IFERROR(INDEX(Inputs!$C$70:$C$173,MATCH('Stationary Energy - Buildings'!$B125,Inputs!$B$70:$B$173,0)),"N/A")</f>
        <v>N/A</v>
      </c>
      <c r="F125" s="1303" t="str">
        <f>IFERROR(INDEX(Inputs!$D$70:$D$173,MATCH('Stationary Energy - Buildings'!$B125,Inputs!$B$70:$B$173,0)),"N/A")</f>
        <v>N/A</v>
      </c>
      <c r="G125" s="482"/>
      <c r="H125" s="482"/>
      <c r="I125" s="482"/>
      <c r="J125" s="482"/>
      <c r="K125" s="482"/>
      <c r="L125" s="482"/>
      <c r="M125" s="482"/>
      <c r="N125" s="482"/>
      <c r="O125" s="482"/>
    </row>
    <row r="126" spans="2:15" s="9" customFormat="1">
      <c r="B126" s="1302">
        <v>321</v>
      </c>
      <c r="C126" s="443" t="s">
        <v>1094</v>
      </c>
      <c r="D126" s="437" t="s">
        <v>112</v>
      </c>
      <c r="E126" s="437" t="str">
        <f>IFERROR(INDEX(Inputs!$C$70:$C$173,MATCH('Stationary Energy - Buildings'!$B126,Inputs!$B$70:$B$173,0)),"N/A")</f>
        <v>N/A</v>
      </c>
      <c r="F126" s="1303" t="str">
        <f>IFERROR(INDEX(Inputs!$D$70:$D$173,MATCH('Stationary Energy - Buildings'!$B126,Inputs!$B$70:$B$173,0)),"N/A")</f>
        <v>N/A</v>
      </c>
      <c r="G126" s="482"/>
      <c r="H126" s="482"/>
      <c r="I126" s="482"/>
      <c r="J126" s="482"/>
      <c r="K126" s="482"/>
      <c r="L126" s="482"/>
      <c r="M126" s="482"/>
      <c r="N126" s="482"/>
      <c r="O126" s="482"/>
    </row>
    <row r="127" spans="2:15" s="9" customFormat="1">
      <c r="B127" s="1302">
        <v>322</v>
      </c>
      <c r="C127" s="443" t="s">
        <v>176</v>
      </c>
      <c r="D127" s="437" t="s">
        <v>112</v>
      </c>
      <c r="E127" s="437" t="str">
        <f>IFERROR(INDEX(Inputs!$C$70:$C$173,MATCH('Stationary Energy - Buildings'!$B127,Inputs!$B$70:$B$173,0)),"N/A")</f>
        <v>N/A</v>
      </c>
      <c r="F127" s="1303" t="str">
        <f>IFERROR(INDEX(Inputs!$D$70:$D$173,MATCH('Stationary Energy - Buildings'!$B127,Inputs!$B$70:$B$173,0)),"N/A")</f>
        <v>N/A</v>
      </c>
      <c r="G127" s="482"/>
      <c r="H127" s="482"/>
      <c r="I127" s="482"/>
      <c r="J127" s="482"/>
      <c r="K127" s="482"/>
      <c r="L127" s="482"/>
      <c r="M127" s="482"/>
      <c r="N127" s="482"/>
      <c r="O127" s="482"/>
    </row>
    <row r="128" spans="2:15" s="9" customFormat="1">
      <c r="B128" s="1302">
        <v>323</v>
      </c>
      <c r="C128" s="443" t="s">
        <v>1095</v>
      </c>
      <c r="D128" s="437" t="s">
        <v>112</v>
      </c>
      <c r="E128" s="437" t="str">
        <f>IFERROR(INDEX(Inputs!$C$70:$C$173,MATCH('Stationary Energy - Buildings'!$B128,Inputs!$B$70:$B$173,0)),"N/A")</f>
        <v>N/A</v>
      </c>
      <c r="F128" s="1303" t="str">
        <f>IFERROR(INDEX(Inputs!$D$70:$D$173,MATCH('Stationary Energy - Buildings'!$B128,Inputs!$B$70:$B$173,0)),"N/A")</f>
        <v>N/A</v>
      </c>
      <c r="G128" s="482"/>
      <c r="H128" s="482"/>
      <c r="I128" s="482"/>
      <c r="J128" s="482"/>
      <c r="K128" s="482"/>
      <c r="L128" s="482"/>
      <c r="M128" s="482"/>
      <c r="N128" s="482"/>
      <c r="O128" s="482"/>
    </row>
    <row r="129" spans="2:15" s="9" customFormat="1">
      <c r="B129" s="1302">
        <v>324</v>
      </c>
      <c r="C129" s="443" t="s">
        <v>1096</v>
      </c>
      <c r="D129" s="437" t="s">
        <v>112</v>
      </c>
      <c r="E129" s="437" t="str">
        <f>IFERROR(INDEX(Inputs!$C$70:$C$173,MATCH('Stationary Energy - Buildings'!$B129,Inputs!$B$70:$B$173,0)),"N/A")</f>
        <v>N/A</v>
      </c>
      <c r="F129" s="1303" t="str">
        <f>IFERROR(INDEX(Inputs!$D$70:$D$173,MATCH('Stationary Energy - Buildings'!$B129,Inputs!$B$70:$B$173,0)),"N/A")</f>
        <v>N/A</v>
      </c>
      <c r="G129" s="482"/>
      <c r="H129" s="482"/>
      <c r="I129" s="482"/>
      <c r="J129" s="482"/>
      <c r="K129" s="482"/>
      <c r="L129" s="482"/>
      <c r="M129" s="482"/>
      <c r="N129" s="482"/>
      <c r="O129" s="482"/>
    </row>
    <row r="130" spans="2:15" s="9" customFormat="1">
      <c r="B130" s="1302">
        <v>325</v>
      </c>
      <c r="C130" s="443" t="s">
        <v>1097</v>
      </c>
      <c r="D130" s="437" t="s">
        <v>112</v>
      </c>
      <c r="E130" s="437" t="str">
        <f>IFERROR(INDEX(Inputs!$C$70:$C$173,MATCH('Stationary Energy - Buildings'!$B130,Inputs!$B$70:$B$173,0)),"N/A")</f>
        <v>N/A</v>
      </c>
      <c r="F130" s="1303" t="str">
        <f>IFERROR(INDEX(Inputs!$D$70:$D$173,MATCH('Stationary Energy - Buildings'!$B130,Inputs!$B$70:$B$173,0)),"N/A")</f>
        <v>N/A</v>
      </c>
      <c r="G130" s="482"/>
      <c r="H130" s="482"/>
      <c r="I130" s="482"/>
      <c r="J130" s="482"/>
      <c r="K130" s="482"/>
      <c r="L130" s="482"/>
      <c r="M130" s="482"/>
      <c r="N130" s="482"/>
      <c r="O130" s="482"/>
    </row>
    <row r="131" spans="2:15" s="9" customFormat="1">
      <c r="B131" s="1302">
        <v>326</v>
      </c>
      <c r="C131" s="443" t="s">
        <v>1098</v>
      </c>
      <c r="D131" s="437" t="s">
        <v>112</v>
      </c>
      <c r="E131" s="437" t="str">
        <f>IFERROR(INDEX(Inputs!$C$70:$C$173,MATCH('Stationary Energy - Buildings'!$B131,Inputs!$B$70:$B$173,0)),"N/A")</f>
        <v>N/A</v>
      </c>
      <c r="F131" s="1303" t="str">
        <f>IFERROR(INDEX(Inputs!$D$70:$D$173,MATCH('Stationary Energy - Buildings'!$B131,Inputs!$B$70:$B$173,0)),"N/A")</f>
        <v>N/A</v>
      </c>
      <c r="G131" s="482"/>
      <c r="H131" s="482"/>
      <c r="I131" s="482"/>
      <c r="J131" s="482"/>
      <c r="K131" s="482"/>
      <c r="L131" s="482"/>
      <c r="M131" s="482"/>
      <c r="N131" s="482"/>
      <c r="O131" s="482"/>
    </row>
    <row r="132" spans="2:15" s="9" customFormat="1">
      <c r="B132" s="1302">
        <v>327</v>
      </c>
      <c r="C132" s="443" t="s">
        <v>1099</v>
      </c>
      <c r="D132" s="437" t="s">
        <v>112</v>
      </c>
      <c r="E132" s="437" t="str">
        <f>IFERROR(INDEX(Inputs!$C$70:$C$173,MATCH('Stationary Energy - Buildings'!$B132,Inputs!$B$70:$B$173,0)),"N/A")</f>
        <v>N/A</v>
      </c>
      <c r="F132" s="1303" t="str">
        <f>IFERROR(INDEX(Inputs!$D$70:$D$173,MATCH('Stationary Energy - Buildings'!$B132,Inputs!$B$70:$B$173,0)),"N/A")</f>
        <v>N/A</v>
      </c>
      <c r="G132" s="482"/>
      <c r="H132" s="482"/>
      <c r="I132" s="482"/>
      <c r="J132" s="482"/>
      <c r="K132" s="482"/>
      <c r="L132" s="482"/>
      <c r="M132" s="482"/>
      <c r="N132" s="482"/>
      <c r="O132" s="482"/>
    </row>
    <row r="133" spans="2:15" s="9" customFormat="1">
      <c r="B133" s="1302">
        <v>331</v>
      </c>
      <c r="C133" s="443" t="s">
        <v>1100</v>
      </c>
      <c r="D133" s="437" t="s">
        <v>112</v>
      </c>
      <c r="E133" s="437" t="str">
        <f>IFERROR(INDEX(Inputs!$C$70:$C$173,MATCH('Stationary Energy - Buildings'!$B133,Inputs!$B$70:$B$173,0)),"N/A")</f>
        <v>N/A</v>
      </c>
      <c r="F133" s="1303" t="str">
        <f>IFERROR(INDEX(Inputs!$D$70:$D$173,MATCH('Stationary Energy - Buildings'!$B133,Inputs!$B$70:$B$173,0)),"N/A")</f>
        <v>N/A</v>
      </c>
      <c r="G133" s="482"/>
      <c r="H133" s="482"/>
      <c r="I133" s="482"/>
      <c r="J133" s="482"/>
      <c r="K133" s="482"/>
      <c r="L133" s="482"/>
      <c r="M133" s="482"/>
      <c r="N133" s="482"/>
      <c r="O133" s="482"/>
    </row>
    <row r="134" spans="2:15" s="9" customFormat="1">
      <c r="B134" s="1302">
        <v>332</v>
      </c>
      <c r="C134" s="443" t="s">
        <v>1101</v>
      </c>
      <c r="D134" s="437" t="s">
        <v>112</v>
      </c>
      <c r="E134" s="437" t="str">
        <f>IFERROR(INDEX(Inputs!$C$70:$C$173,MATCH('Stationary Energy - Buildings'!$B134,Inputs!$B$70:$B$173,0)),"N/A")</f>
        <v>N/A</v>
      </c>
      <c r="F134" s="1303" t="str">
        <f>IFERROR(INDEX(Inputs!$D$70:$D$173,MATCH('Stationary Energy - Buildings'!$B134,Inputs!$B$70:$B$173,0)),"N/A")</f>
        <v>N/A</v>
      </c>
      <c r="G134" s="482"/>
      <c r="H134" s="482"/>
      <c r="I134" s="482"/>
      <c r="J134" s="482"/>
      <c r="K134" s="482"/>
      <c r="L134" s="482"/>
      <c r="M134" s="482"/>
      <c r="N134" s="482"/>
      <c r="O134" s="482"/>
    </row>
    <row r="135" spans="2:15" s="9" customFormat="1">
      <c r="B135" s="1302">
        <v>333</v>
      </c>
      <c r="C135" s="443" t="s">
        <v>1102</v>
      </c>
      <c r="D135" s="437" t="s">
        <v>112</v>
      </c>
      <c r="E135" s="437" t="str">
        <f>IFERROR(INDEX(Inputs!$C$70:$C$173,MATCH('Stationary Energy - Buildings'!$B135,Inputs!$B$70:$B$173,0)),"N/A")</f>
        <v>N/A</v>
      </c>
      <c r="F135" s="1303" t="str">
        <f>IFERROR(INDEX(Inputs!$D$70:$D$173,MATCH('Stationary Energy - Buildings'!$B135,Inputs!$B$70:$B$173,0)),"N/A")</f>
        <v>N/A</v>
      </c>
      <c r="G135" s="482"/>
      <c r="H135" s="482"/>
      <c r="I135" s="482"/>
      <c r="J135" s="482"/>
      <c r="K135" s="482"/>
      <c r="L135" s="482"/>
      <c r="M135" s="482"/>
      <c r="N135" s="482"/>
      <c r="O135" s="482"/>
    </row>
    <row r="136" spans="2:15" s="9" customFormat="1">
      <c r="B136" s="1302">
        <v>334</v>
      </c>
      <c r="C136" s="443" t="s">
        <v>1103</v>
      </c>
      <c r="D136" s="437" t="s">
        <v>112</v>
      </c>
      <c r="E136" s="437" t="str">
        <f>IFERROR(INDEX(Inputs!$C$70:$C$173,MATCH('Stationary Energy - Buildings'!$B136,Inputs!$B$70:$B$173,0)),"N/A")</f>
        <v>N/A</v>
      </c>
      <c r="F136" s="1303" t="str">
        <f>IFERROR(INDEX(Inputs!$D$70:$D$173,MATCH('Stationary Energy - Buildings'!$B136,Inputs!$B$70:$B$173,0)),"N/A")</f>
        <v>N/A</v>
      </c>
      <c r="G136" s="482"/>
      <c r="H136" s="482"/>
      <c r="I136" s="482"/>
      <c r="J136" s="482"/>
      <c r="K136" s="482"/>
      <c r="L136" s="482"/>
      <c r="M136" s="482"/>
      <c r="N136" s="482"/>
      <c r="O136" s="482"/>
    </row>
    <row r="137" spans="2:15" s="9" customFormat="1">
      <c r="B137" s="1302">
        <v>335</v>
      </c>
      <c r="C137" s="443" t="s">
        <v>1104</v>
      </c>
      <c r="D137" s="437" t="s">
        <v>112</v>
      </c>
      <c r="E137" s="437" t="str">
        <f>IFERROR(INDEX(Inputs!$C$70:$C$173,MATCH('Stationary Energy - Buildings'!$B137,Inputs!$B$70:$B$173,0)),"N/A")</f>
        <v>N/A</v>
      </c>
      <c r="F137" s="1303" t="str">
        <f>IFERROR(INDEX(Inputs!$D$70:$D$173,MATCH('Stationary Energy - Buildings'!$B137,Inputs!$B$70:$B$173,0)),"N/A")</f>
        <v>N/A</v>
      </c>
      <c r="G137" s="482"/>
      <c r="H137" s="482"/>
      <c r="I137" s="482"/>
      <c r="J137" s="482"/>
      <c r="K137" s="482"/>
      <c r="L137" s="482"/>
      <c r="M137" s="482"/>
      <c r="N137" s="482"/>
      <c r="O137" s="482"/>
    </row>
    <row r="138" spans="2:15" s="9" customFormat="1">
      <c r="B138" s="1302">
        <v>336</v>
      </c>
      <c r="C138" s="443" t="s">
        <v>1105</v>
      </c>
      <c r="D138" s="437" t="s">
        <v>112</v>
      </c>
      <c r="E138" s="437" t="str">
        <f>IFERROR(INDEX(Inputs!$C$70:$C$173,MATCH('Stationary Energy - Buildings'!$B138,Inputs!$B$70:$B$173,0)),"N/A")</f>
        <v>N/A</v>
      </c>
      <c r="F138" s="1303" t="str">
        <f>IFERROR(INDEX(Inputs!$D$70:$D$173,MATCH('Stationary Energy - Buildings'!$B138,Inputs!$B$70:$B$173,0)),"N/A")</f>
        <v>N/A</v>
      </c>
      <c r="G138" s="482"/>
      <c r="H138" s="482"/>
      <c r="I138" s="482"/>
      <c r="J138" s="482"/>
      <c r="K138" s="482"/>
      <c r="L138" s="482"/>
      <c r="M138" s="482"/>
      <c r="N138" s="482"/>
      <c r="O138" s="482"/>
    </row>
    <row r="139" spans="2:15" s="9" customFormat="1">
      <c r="B139" s="1302">
        <v>337</v>
      </c>
      <c r="C139" s="443" t="s">
        <v>1106</v>
      </c>
      <c r="D139" s="437" t="s">
        <v>112</v>
      </c>
      <c r="E139" s="437" t="str">
        <f>IFERROR(INDEX(Inputs!$C$70:$C$173,MATCH('Stationary Energy - Buildings'!$B139,Inputs!$B$70:$B$173,0)),"N/A")</f>
        <v>N/A</v>
      </c>
      <c r="F139" s="1303" t="str">
        <f>IFERROR(INDEX(Inputs!$D$70:$D$173,MATCH('Stationary Energy - Buildings'!$B139,Inputs!$B$70:$B$173,0)),"N/A")</f>
        <v>N/A</v>
      </c>
      <c r="G139" s="482"/>
      <c r="H139" s="482"/>
      <c r="I139" s="482"/>
      <c r="J139" s="482"/>
      <c r="K139" s="482"/>
      <c r="L139" s="482"/>
      <c r="M139" s="482"/>
      <c r="N139" s="482"/>
      <c r="O139" s="482"/>
    </row>
    <row r="140" spans="2:15" s="9" customFormat="1">
      <c r="B140" s="1302">
        <v>339</v>
      </c>
      <c r="C140" s="443" t="s">
        <v>1107</v>
      </c>
      <c r="D140" s="437" t="s">
        <v>112</v>
      </c>
      <c r="E140" s="437" t="str">
        <f>IFERROR(INDEX(Inputs!$C$70:$C$173,MATCH('Stationary Energy - Buildings'!$B140,Inputs!$B$70:$B$173,0)),"N/A")</f>
        <v>N/A</v>
      </c>
      <c r="F140" s="1303" t="str">
        <f>IFERROR(INDEX(Inputs!$D$70:$D$173,MATCH('Stationary Energy - Buildings'!$B140,Inputs!$B$70:$B$173,0)),"N/A")</f>
        <v>N/A</v>
      </c>
      <c r="G140" s="482"/>
      <c r="H140" s="482"/>
      <c r="I140" s="482"/>
      <c r="J140" s="482"/>
      <c r="K140" s="482"/>
      <c r="L140" s="482"/>
      <c r="M140" s="482"/>
      <c r="N140" s="482"/>
      <c r="O140" s="482"/>
    </row>
    <row r="141" spans="2:15" s="9" customFormat="1">
      <c r="B141" s="1302">
        <v>423</v>
      </c>
      <c r="C141" s="443" t="s">
        <v>1132</v>
      </c>
      <c r="D141" s="437" t="s">
        <v>1133</v>
      </c>
      <c r="E141" s="437" t="str">
        <f>IFERROR(INDEX(Inputs!$C$70:$C$173,MATCH('Stationary Energy - Buildings'!$B141,Inputs!$B$70:$B$173,0)),"N/A")</f>
        <v>N/A</v>
      </c>
      <c r="F141" s="1303" t="str">
        <f>IFERROR(INDEX(Inputs!$D$70:$D$173,MATCH('Stationary Energy - Buildings'!$B141,Inputs!$B$70:$B$173,0)),"N/A")</f>
        <v>N/A</v>
      </c>
      <c r="G141" s="482"/>
      <c r="H141" s="482"/>
      <c r="I141" s="482"/>
      <c r="J141" s="482"/>
      <c r="K141" s="482"/>
      <c r="L141" s="482"/>
      <c r="M141" s="482"/>
      <c r="N141" s="482"/>
      <c r="O141" s="482"/>
    </row>
    <row r="142" spans="2:15" s="9" customFormat="1">
      <c r="B142" s="1302">
        <v>424</v>
      </c>
      <c r="C142" s="443" t="s">
        <v>1132</v>
      </c>
      <c r="D142" s="437" t="s">
        <v>1133</v>
      </c>
      <c r="E142" s="437" t="str">
        <f>IFERROR(INDEX(Inputs!$C$70:$C$173,MATCH('Stationary Energy - Buildings'!$B142,Inputs!$B$70:$B$173,0)),"N/A")</f>
        <v>N/A</v>
      </c>
      <c r="F142" s="1303" t="str">
        <f>IFERROR(INDEX(Inputs!$D$70:$D$173,MATCH('Stationary Energy - Buildings'!$B142,Inputs!$B$70:$B$173,0)),"N/A")</f>
        <v>N/A</v>
      </c>
      <c r="G142" s="482"/>
      <c r="H142" s="482"/>
      <c r="I142" s="482"/>
      <c r="J142" s="482"/>
      <c r="K142" s="482"/>
      <c r="L142" s="482"/>
      <c r="M142" s="482"/>
      <c r="N142" s="482"/>
      <c r="O142" s="482"/>
    </row>
    <row r="143" spans="2:15" s="9" customFormat="1">
      <c r="B143" s="1302">
        <v>425</v>
      </c>
      <c r="C143" s="443" t="s">
        <v>1134</v>
      </c>
      <c r="D143" s="437" t="s">
        <v>1121</v>
      </c>
      <c r="E143" s="437" t="str">
        <f>IFERROR(INDEX(Inputs!$C$70:$C$173,MATCH('Stationary Energy - Buildings'!$B143,Inputs!$B$70:$B$173,0)),"N/A")</f>
        <v>N/A</v>
      </c>
      <c r="F143" s="1303" t="str">
        <f>IFERROR(INDEX(Inputs!$D$70:$D$173,MATCH('Stationary Energy - Buildings'!$B143,Inputs!$B$70:$B$173,0)),"N/A")</f>
        <v>N/A</v>
      </c>
      <c r="G143" s="482"/>
      <c r="H143" s="482"/>
      <c r="I143" s="482"/>
      <c r="J143" s="482"/>
      <c r="K143" s="482"/>
      <c r="L143" s="482"/>
      <c r="M143" s="482"/>
      <c r="N143" s="482"/>
      <c r="O143" s="482"/>
    </row>
    <row r="144" spans="2:15" s="9" customFormat="1">
      <c r="B144" s="1302">
        <v>441</v>
      </c>
      <c r="C144" s="443" t="s">
        <v>1135</v>
      </c>
      <c r="D144" s="437" t="s">
        <v>1133</v>
      </c>
      <c r="E144" s="437" t="str">
        <f>IFERROR(INDEX(Inputs!$C$70:$C$173,MATCH('Stationary Energy - Buildings'!$B144,Inputs!$B$70:$B$173,0)),"N/A")</f>
        <v>N/A</v>
      </c>
      <c r="F144" s="1303" t="str">
        <f>IFERROR(INDEX(Inputs!$D$70:$D$173,MATCH('Stationary Energy - Buildings'!$B144,Inputs!$B$70:$B$173,0)),"N/A")</f>
        <v>N/A</v>
      </c>
      <c r="G144" s="482"/>
      <c r="H144" s="482"/>
      <c r="I144" s="482"/>
      <c r="J144" s="482"/>
      <c r="K144" s="482"/>
      <c r="L144" s="482"/>
      <c r="M144" s="482"/>
      <c r="N144" s="482"/>
      <c r="O144" s="482"/>
    </row>
    <row r="145" spans="2:15" s="9" customFormat="1">
      <c r="B145" s="1302">
        <v>442</v>
      </c>
      <c r="C145" s="443" t="s">
        <v>1135</v>
      </c>
      <c r="D145" s="437" t="s">
        <v>1133</v>
      </c>
      <c r="E145" s="437" t="str">
        <f>IFERROR(INDEX(Inputs!$C$70:$C$173,MATCH('Stationary Energy - Buildings'!$B145,Inputs!$B$70:$B$173,0)),"N/A")</f>
        <v>N/A</v>
      </c>
      <c r="F145" s="1303" t="str">
        <f>IFERROR(INDEX(Inputs!$D$70:$D$173,MATCH('Stationary Energy - Buildings'!$B145,Inputs!$B$70:$B$173,0)),"N/A")</f>
        <v>N/A</v>
      </c>
      <c r="G145" s="482"/>
      <c r="H145" s="482"/>
      <c r="I145" s="482"/>
      <c r="J145" s="482"/>
      <c r="K145" s="482"/>
      <c r="L145" s="482"/>
      <c r="M145" s="482"/>
      <c r="N145" s="482"/>
      <c r="O145" s="482"/>
    </row>
    <row r="146" spans="2:15" s="9" customFormat="1">
      <c r="B146" s="1302">
        <v>443</v>
      </c>
      <c r="C146" s="443" t="s">
        <v>1135</v>
      </c>
      <c r="D146" s="437" t="s">
        <v>1133</v>
      </c>
      <c r="E146" s="437" t="str">
        <f>IFERROR(INDEX(Inputs!$C$70:$C$173,MATCH('Stationary Energy - Buildings'!$B146,Inputs!$B$70:$B$173,0)),"N/A")</f>
        <v>N/A</v>
      </c>
      <c r="F146" s="1303" t="str">
        <f>IFERROR(INDEX(Inputs!$D$70:$D$173,MATCH('Stationary Energy - Buildings'!$B146,Inputs!$B$70:$B$173,0)),"N/A")</f>
        <v>N/A</v>
      </c>
      <c r="G146" s="482"/>
      <c r="H146" s="482"/>
      <c r="I146" s="482"/>
      <c r="J146" s="482"/>
      <c r="K146" s="482"/>
      <c r="L146" s="482"/>
      <c r="M146" s="482"/>
      <c r="N146" s="482"/>
      <c r="O146" s="482"/>
    </row>
    <row r="147" spans="2:15" s="9" customFormat="1">
      <c r="B147" s="1302">
        <v>444</v>
      </c>
      <c r="C147" s="443" t="s">
        <v>1135</v>
      </c>
      <c r="D147" s="437" t="s">
        <v>1133</v>
      </c>
      <c r="E147" s="437" t="str">
        <f>IFERROR(INDEX(Inputs!$C$70:$C$173,MATCH('Stationary Energy - Buildings'!$B147,Inputs!$B$70:$B$173,0)),"N/A")</f>
        <v>N/A</v>
      </c>
      <c r="F147" s="1303" t="str">
        <f>IFERROR(INDEX(Inputs!$D$70:$D$173,MATCH('Stationary Energy - Buildings'!$B147,Inputs!$B$70:$B$173,0)),"N/A")</f>
        <v>N/A</v>
      </c>
      <c r="G147" s="482"/>
      <c r="H147" s="482"/>
      <c r="I147" s="482"/>
      <c r="J147" s="482"/>
      <c r="K147" s="482"/>
      <c r="L147" s="482"/>
      <c r="M147" s="482"/>
      <c r="N147" s="482"/>
      <c r="O147" s="482"/>
    </row>
    <row r="148" spans="2:15" s="9" customFormat="1">
      <c r="B148" s="1302">
        <v>445</v>
      </c>
      <c r="C148" s="443" t="s">
        <v>1136</v>
      </c>
      <c r="D148" s="437" t="s">
        <v>1133</v>
      </c>
      <c r="E148" s="437" t="str">
        <f>IFERROR(INDEX(Inputs!$C$70:$C$173,MATCH('Stationary Energy - Buildings'!$B148,Inputs!$B$70:$B$173,0)),"N/A")</f>
        <v>N/A</v>
      </c>
      <c r="F148" s="1303" t="str">
        <f>IFERROR(INDEX(Inputs!$D$70:$D$173,MATCH('Stationary Energy - Buildings'!$B148,Inputs!$B$70:$B$173,0)),"N/A")</f>
        <v>N/A</v>
      </c>
      <c r="G148" s="482"/>
      <c r="H148" s="482"/>
      <c r="I148" s="482"/>
      <c r="J148" s="482"/>
      <c r="K148" s="482"/>
      <c r="L148" s="482"/>
      <c r="M148" s="482"/>
      <c r="N148" s="482"/>
      <c r="O148" s="482"/>
    </row>
    <row r="149" spans="2:15" s="9" customFormat="1">
      <c r="B149" s="1302">
        <v>446</v>
      </c>
      <c r="C149" s="443" t="s">
        <v>1137</v>
      </c>
      <c r="D149" s="437" t="s">
        <v>1133</v>
      </c>
      <c r="E149" s="437" t="str">
        <f>IFERROR(INDEX(Inputs!$C$70:$C$173,MATCH('Stationary Energy - Buildings'!$B149,Inputs!$B$70:$B$173,0)),"N/A")</f>
        <v>N/A</v>
      </c>
      <c r="F149" s="1303" t="str">
        <f>IFERROR(INDEX(Inputs!$D$70:$D$173,MATCH('Stationary Energy - Buildings'!$B149,Inputs!$B$70:$B$173,0)),"N/A")</f>
        <v>N/A</v>
      </c>
      <c r="G149" s="482"/>
      <c r="H149" s="482"/>
      <c r="I149" s="482"/>
      <c r="J149" s="482"/>
      <c r="K149" s="482"/>
      <c r="L149" s="482"/>
      <c r="M149" s="482"/>
      <c r="N149" s="482"/>
      <c r="O149" s="482"/>
    </row>
    <row r="150" spans="2:15" s="9" customFormat="1">
      <c r="B150" s="1302">
        <v>447</v>
      </c>
      <c r="C150" s="443" t="s">
        <v>1138</v>
      </c>
      <c r="D150" s="437" t="s">
        <v>1133</v>
      </c>
      <c r="E150" s="437" t="str">
        <f>IFERROR(INDEX(Inputs!$C$70:$C$173,MATCH('Stationary Energy - Buildings'!$B150,Inputs!$B$70:$B$173,0)),"N/A")</f>
        <v>N/A</v>
      </c>
      <c r="F150" s="1303" t="str">
        <f>IFERROR(INDEX(Inputs!$D$70:$D$173,MATCH('Stationary Energy - Buildings'!$B150,Inputs!$B$70:$B$173,0)),"N/A")</f>
        <v>N/A</v>
      </c>
      <c r="G150" s="482"/>
      <c r="H150" s="482"/>
      <c r="I150" s="482"/>
      <c r="J150" s="482"/>
      <c r="K150" s="482"/>
      <c r="L150" s="482"/>
      <c r="M150" s="482"/>
      <c r="N150" s="482"/>
      <c r="O150" s="482"/>
    </row>
    <row r="151" spans="2:15" s="9" customFormat="1">
      <c r="B151" s="1302">
        <v>448</v>
      </c>
      <c r="C151" s="443" t="s">
        <v>1137</v>
      </c>
      <c r="D151" s="437" t="s">
        <v>1133</v>
      </c>
      <c r="E151" s="437" t="str">
        <f>IFERROR(INDEX(Inputs!$C$70:$C$173,MATCH('Stationary Energy - Buildings'!$B151,Inputs!$B$70:$B$173,0)),"N/A")</f>
        <v>N/A</v>
      </c>
      <c r="F151" s="1303" t="str">
        <f>IFERROR(INDEX(Inputs!$D$70:$D$173,MATCH('Stationary Energy - Buildings'!$B151,Inputs!$B$70:$B$173,0)),"N/A")</f>
        <v>N/A</v>
      </c>
      <c r="G151" s="482"/>
      <c r="H151" s="482"/>
      <c r="I151" s="482"/>
      <c r="J151" s="482"/>
      <c r="K151" s="482"/>
      <c r="L151" s="482"/>
      <c r="M151" s="482"/>
      <c r="N151" s="482"/>
      <c r="O151" s="482"/>
    </row>
    <row r="152" spans="2:15" s="9" customFormat="1">
      <c r="B152" s="1302">
        <v>451</v>
      </c>
      <c r="C152" s="443" t="s">
        <v>1135</v>
      </c>
      <c r="D152" s="437" t="s">
        <v>1133</v>
      </c>
      <c r="E152" s="437" t="str">
        <f>IFERROR(INDEX(Inputs!$C$70:$C$173,MATCH('Stationary Energy - Buildings'!$B152,Inputs!$B$70:$B$173,0)),"N/A")</f>
        <v>N/A</v>
      </c>
      <c r="F152" s="1303" t="str">
        <f>IFERROR(INDEX(Inputs!$D$70:$D$173,MATCH('Stationary Energy - Buildings'!$B152,Inputs!$B$70:$B$173,0)),"N/A")</f>
        <v>N/A</v>
      </c>
      <c r="G152" s="482"/>
      <c r="H152" s="482"/>
      <c r="I152" s="482"/>
      <c r="J152" s="482"/>
      <c r="K152" s="482"/>
      <c r="L152" s="482"/>
      <c r="M152" s="482"/>
      <c r="N152" s="482"/>
      <c r="O152" s="482"/>
    </row>
    <row r="153" spans="2:15" s="9" customFormat="1">
      <c r="B153" s="1302">
        <v>452</v>
      </c>
      <c r="C153" s="443" t="s">
        <v>1135</v>
      </c>
      <c r="D153" s="437" t="s">
        <v>1133</v>
      </c>
      <c r="E153" s="437" t="str">
        <f>IFERROR(INDEX(Inputs!$C$70:$C$173,MATCH('Stationary Energy - Buildings'!$B153,Inputs!$B$70:$B$173,0)),"N/A")</f>
        <v>N/A</v>
      </c>
      <c r="F153" s="1303" t="str">
        <f>IFERROR(INDEX(Inputs!$D$70:$D$173,MATCH('Stationary Energy - Buildings'!$B153,Inputs!$B$70:$B$173,0)),"N/A")</f>
        <v>N/A</v>
      </c>
      <c r="G153" s="482"/>
      <c r="H153" s="482"/>
      <c r="I153" s="482"/>
      <c r="J153" s="482"/>
      <c r="K153" s="482"/>
      <c r="L153" s="482"/>
      <c r="M153" s="482"/>
      <c r="N153" s="482"/>
      <c r="O153" s="482"/>
    </row>
    <row r="154" spans="2:15" s="9" customFormat="1">
      <c r="B154" s="1302">
        <v>453</v>
      </c>
      <c r="C154" s="443" t="s">
        <v>1135</v>
      </c>
      <c r="D154" s="437" t="s">
        <v>1133</v>
      </c>
      <c r="E154" s="437" t="str">
        <f>IFERROR(INDEX(Inputs!$C$70:$C$173,MATCH('Stationary Energy - Buildings'!$B154,Inputs!$B$70:$B$173,0)),"N/A")</f>
        <v>N/A</v>
      </c>
      <c r="F154" s="1303" t="str">
        <f>IFERROR(INDEX(Inputs!$D$70:$D$173,MATCH('Stationary Energy - Buildings'!$B154,Inputs!$B$70:$B$173,0)),"N/A")</f>
        <v>N/A</v>
      </c>
      <c r="G154" s="482"/>
      <c r="H154" s="482"/>
      <c r="I154" s="482"/>
      <c r="J154" s="482"/>
      <c r="K154" s="482"/>
      <c r="L154" s="482"/>
      <c r="M154" s="482"/>
      <c r="N154" s="482"/>
      <c r="O154" s="482"/>
    </row>
    <row r="155" spans="2:15" s="9" customFormat="1">
      <c r="B155" s="1302">
        <v>454</v>
      </c>
      <c r="C155" s="443" t="s">
        <v>1139</v>
      </c>
      <c r="D155" s="437" t="s">
        <v>1133</v>
      </c>
      <c r="E155" s="437" t="str">
        <f>IFERROR(INDEX(Inputs!$C$70:$C$173,MATCH('Stationary Energy - Buildings'!$B155,Inputs!$B$70:$B$173,0)),"N/A")</f>
        <v>N/A</v>
      </c>
      <c r="F155" s="1303" t="str">
        <f>IFERROR(INDEX(Inputs!$D$70:$D$173,MATCH('Stationary Energy - Buildings'!$B155,Inputs!$B$70:$B$173,0)),"N/A")</f>
        <v>N/A</v>
      </c>
      <c r="G155" s="482"/>
      <c r="H155" s="482"/>
      <c r="I155" s="482"/>
      <c r="J155" s="482"/>
      <c r="K155" s="482"/>
      <c r="L155" s="482"/>
      <c r="M155" s="482"/>
      <c r="N155" s="482"/>
      <c r="O155" s="482"/>
    </row>
    <row r="156" spans="2:15" s="9" customFormat="1">
      <c r="B156" s="1302">
        <v>481</v>
      </c>
      <c r="C156" s="443" t="s">
        <v>1139</v>
      </c>
      <c r="D156" s="437" t="s">
        <v>1133</v>
      </c>
      <c r="E156" s="437" t="str">
        <f>IFERROR(INDEX(Inputs!$C$70:$C$173,MATCH('Stationary Energy - Buildings'!$B156,Inputs!$B$70:$B$173,0)),"N/A")</f>
        <v>N/A</v>
      </c>
      <c r="F156" s="1303" t="str">
        <f>IFERROR(INDEX(Inputs!$D$70:$D$173,MATCH('Stationary Energy - Buildings'!$B156,Inputs!$B$70:$B$173,0)),"N/A")</f>
        <v>N/A</v>
      </c>
      <c r="G156" s="482"/>
      <c r="H156" s="482"/>
      <c r="I156" s="482"/>
      <c r="J156" s="482"/>
      <c r="K156" s="482"/>
      <c r="L156" s="482"/>
      <c r="M156" s="482"/>
      <c r="N156" s="482"/>
      <c r="O156" s="482"/>
    </row>
    <row r="157" spans="2:15" s="9" customFormat="1">
      <c r="B157" s="1302">
        <v>482</v>
      </c>
      <c r="C157" s="443" t="s">
        <v>1140</v>
      </c>
      <c r="D157" s="437" t="s">
        <v>1133</v>
      </c>
      <c r="E157" s="437" t="str">
        <f>IFERROR(INDEX(Inputs!$C$70:$C$173,MATCH('Stationary Energy - Buildings'!$B157,Inputs!$B$70:$B$173,0)),"N/A")</f>
        <v>N/A</v>
      </c>
      <c r="F157" s="1303" t="str">
        <f>IFERROR(INDEX(Inputs!$D$70:$D$173,MATCH('Stationary Energy - Buildings'!$B157,Inputs!$B$70:$B$173,0)),"N/A")</f>
        <v>N/A</v>
      </c>
      <c r="G157" s="482"/>
      <c r="H157" s="482"/>
      <c r="I157" s="482"/>
      <c r="J157" s="482"/>
      <c r="K157" s="482"/>
      <c r="L157" s="482"/>
      <c r="M157" s="482"/>
      <c r="N157" s="482"/>
      <c r="O157" s="482"/>
    </row>
    <row r="158" spans="2:15" s="9" customFormat="1">
      <c r="B158" s="1302">
        <v>483</v>
      </c>
      <c r="C158" s="443" t="s">
        <v>1138</v>
      </c>
      <c r="D158" s="437" t="s">
        <v>1133</v>
      </c>
      <c r="E158" s="437" t="str">
        <f>IFERROR(INDEX(Inputs!$C$70:$C$173,MATCH('Stationary Energy - Buildings'!$B158,Inputs!$B$70:$B$173,0)),"N/A")</f>
        <v>N/A</v>
      </c>
      <c r="F158" s="1303" t="str">
        <f>IFERROR(INDEX(Inputs!$D$70:$D$173,MATCH('Stationary Energy - Buildings'!$B158,Inputs!$B$70:$B$173,0)),"N/A")</f>
        <v>N/A</v>
      </c>
      <c r="G158" s="482"/>
      <c r="H158" s="482"/>
      <c r="I158" s="482"/>
      <c r="J158" s="482"/>
      <c r="K158" s="482"/>
      <c r="L158" s="482"/>
      <c r="M158" s="482"/>
      <c r="N158" s="482"/>
      <c r="O158" s="482"/>
    </row>
    <row r="159" spans="2:15" s="9" customFormat="1">
      <c r="B159" s="1302">
        <v>484</v>
      </c>
      <c r="C159" s="443" t="s">
        <v>1138</v>
      </c>
      <c r="D159" s="437" t="s">
        <v>1133</v>
      </c>
      <c r="E159" s="437" t="str">
        <f>IFERROR(INDEX(Inputs!$C$70:$C$173,MATCH('Stationary Energy - Buildings'!$B159,Inputs!$B$70:$B$173,0)),"N/A")</f>
        <v>N/A</v>
      </c>
      <c r="F159" s="1303" t="str">
        <f>IFERROR(INDEX(Inputs!$D$70:$D$173,MATCH('Stationary Energy - Buildings'!$B159,Inputs!$B$70:$B$173,0)),"N/A")</f>
        <v>N/A</v>
      </c>
      <c r="G159" s="482"/>
      <c r="H159" s="482"/>
      <c r="I159" s="482"/>
      <c r="J159" s="482"/>
      <c r="K159" s="482"/>
      <c r="L159" s="482"/>
      <c r="M159" s="482"/>
      <c r="N159" s="482"/>
      <c r="O159" s="482"/>
    </row>
    <row r="160" spans="2:15" s="9" customFormat="1">
      <c r="B160" s="1302">
        <v>485</v>
      </c>
      <c r="C160" s="443" t="s">
        <v>1140</v>
      </c>
      <c r="D160" s="437" t="s">
        <v>1133</v>
      </c>
      <c r="E160" s="437" t="str">
        <f>IFERROR(INDEX(Inputs!$C$70:$C$173,MATCH('Stationary Energy - Buildings'!$B160,Inputs!$B$70:$B$173,0)),"N/A")</f>
        <v>N/A</v>
      </c>
      <c r="F160" s="1303" t="str">
        <f>IFERROR(INDEX(Inputs!$D$70:$D$173,MATCH('Stationary Energy - Buildings'!$B160,Inputs!$B$70:$B$173,0)),"N/A")</f>
        <v>N/A</v>
      </c>
      <c r="G160" s="482"/>
      <c r="H160" s="482"/>
      <c r="I160" s="482"/>
      <c r="J160" s="482"/>
      <c r="K160" s="482"/>
      <c r="L160" s="482"/>
      <c r="M160" s="482"/>
      <c r="N160" s="482"/>
      <c r="O160" s="482"/>
    </row>
    <row r="161" spans="2:15" s="9" customFormat="1">
      <c r="B161" s="1302">
        <v>486</v>
      </c>
      <c r="C161" s="443" t="s">
        <v>1141</v>
      </c>
      <c r="D161" s="437" t="s">
        <v>1121</v>
      </c>
      <c r="E161" s="437" t="str">
        <f>IFERROR(INDEX(Inputs!$C$70:$C$173,MATCH('Stationary Energy - Buildings'!$B161,Inputs!$B$70:$B$173,0)),"N/A")</f>
        <v>N/A</v>
      </c>
      <c r="F161" s="1303" t="str">
        <f>IFERROR(INDEX(Inputs!$D$70:$D$173,MATCH('Stationary Energy - Buildings'!$B161,Inputs!$B$70:$B$173,0)),"N/A")</f>
        <v>N/A</v>
      </c>
      <c r="G161" s="482"/>
      <c r="H161" s="482"/>
      <c r="I161" s="482"/>
      <c r="J161" s="482"/>
      <c r="K161" s="482"/>
      <c r="L161" s="482"/>
      <c r="M161" s="482"/>
      <c r="N161" s="482"/>
      <c r="O161" s="482"/>
    </row>
    <row r="162" spans="2:15" s="9" customFormat="1">
      <c r="B162" s="1302">
        <v>487</v>
      </c>
      <c r="C162" s="443" t="s">
        <v>1140</v>
      </c>
      <c r="D162" s="437" t="s">
        <v>1133</v>
      </c>
      <c r="E162" s="437" t="str">
        <f>IFERROR(INDEX(Inputs!$C$70:$C$173,MATCH('Stationary Energy - Buildings'!$B162,Inputs!$B$70:$B$173,0)),"N/A")</f>
        <v>N/A</v>
      </c>
      <c r="F162" s="1303" t="str">
        <f>IFERROR(INDEX(Inputs!$D$70:$D$173,MATCH('Stationary Energy - Buildings'!$B162,Inputs!$B$70:$B$173,0)),"N/A")</f>
        <v>N/A</v>
      </c>
      <c r="G162" s="482"/>
      <c r="H162" s="482"/>
      <c r="I162" s="482"/>
      <c r="J162" s="482"/>
      <c r="K162" s="482"/>
      <c r="L162" s="482"/>
      <c r="M162" s="482"/>
      <c r="N162" s="482"/>
      <c r="O162" s="482"/>
    </row>
    <row r="163" spans="2:15" s="9" customFormat="1">
      <c r="B163" s="1302">
        <v>488</v>
      </c>
      <c r="C163" s="443" t="s">
        <v>1138</v>
      </c>
      <c r="D163" s="437" t="s">
        <v>1133</v>
      </c>
      <c r="E163" s="437" t="str">
        <f>IFERROR(INDEX(Inputs!$C$70:$C$173,MATCH('Stationary Energy - Buildings'!$B163,Inputs!$B$70:$B$173,0)),"N/A")</f>
        <v>N/A</v>
      </c>
      <c r="F163" s="1303" t="str">
        <f>IFERROR(INDEX(Inputs!$D$70:$D$173,MATCH('Stationary Energy - Buildings'!$B163,Inputs!$B$70:$B$173,0)),"N/A")</f>
        <v>N/A</v>
      </c>
      <c r="G163" s="482"/>
      <c r="H163" s="482"/>
      <c r="I163" s="482"/>
      <c r="J163" s="482"/>
      <c r="K163" s="482"/>
      <c r="L163" s="482"/>
      <c r="M163" s="482"/>
      <c r="N163" s="482"/>
      <c r="O163" s="482"/>
    </row>
    <row r="164" spans="2:15" s="9" customFormat="1">
      <c r="B164" s="1302">
        <v>491</v>
      </c>
      <c r="C164" s="443" t="s">
        <v>1138</v>
      </c>
      <c r="D164" s="437" t="s">
        <v>1133</v>
      </c>
      <c r="E164" s="437" t="str">
        <f>IFERROR(INDEX(Inputs!$C$70:$C$173,MATCH('Stationary Energy - Buildings'!$B164,Inputs!$B$70:$B$173,0)),"N/A")</f>
        <v>N/A</v>
      </c>
      <c r="F164" s="1303" t="str">
        <f>IFERROR(INDEX(Inputs!$D$70:$D$173,MATCH('Stationary Energy - Buildings'!$B164,Inputs!$B$70:$B$173,0)),"N/A")</f>
        <v>N/A</v>
      </c>
      <c r="G164" s="482"/>
      <c r="H164" s="482"/>
      <c r="I164" s="482"/>
      <c r="J164" s="482"/>
      <c r="K164" s="482"/>
      <c r="L164" s="482"/>
      <c r="M164" s="482"/>
      <c r="N164" s="482"/>
      <c r="O164" s="482"/>
    </row>
    <row r="165" spans="2:15" s="9" customFormat="1">
      <c r="B165" s="1302">
        <v>492</v>
      </c>
      <c r="C165" s="443" t="s">
        <v>1138</v>
      </c>
      <c r="D165" s="437" t="s">
        <v>1133</v>
      </c>
      <c r="E165" s="437" t="str">
        <f>IFERROR(INDEX(Inputs!$C$70:$C$173,MATCH('Stationary Energy - Buildings'!$B165,Inputs!$B$70:$B$173,0)),"N/A")</f>
        <v>N/A</v>
      </c>
      <c r="F165" s="1303" t="str">
        <f>IFERROR(INDEX(Inputs!$D$70:$D$173,MATCH('Stationary Energy - Buildings'!$B165,Inputs!$B$70:$B$173,0)),"N/A")</f>
        <v>N/A</v>
      </c>
      <c r="G165" s="482"/>
      <c r="H165" s="482"/>
      <c r="I165" s="482"/>
      <c r="J165" s="482"/>
      <c r="K165" s="482"/>
      <c r="L165" s="482"/>
      <c r="M165" s="482"/>
      <c r="N165" s="482"/>
      <c r="O165" s="482"/>
    </row>
    <row r="166" spans="2:15" s="9" customFormat="1">
      <c r="B166" s="1302">
        <v>493</v>
      </c>
      <c r="C166" s="443" t="s">
        <v>1132</v>
      </c>
      <c r="D166" s="437" t="s">
        <v>1133</v>
      </c>
      <c r="E166" s="437" t="str">
        <f>IFERROR(INDEX(Inputs!$C$70:$C$173,MATCH('Stationary Energy - Buildings'!$B166,Inputs!$B$70:$B$173,0)),"N/A")</f>
        <v>N/A</v>
      </c>
      <c r="F166" s="1303" t="str">
        <f>IFERROR(INDEX(Inputs!$D$70:$D$173,MATCH('Stationary Energy - Buildings'!$B166,Inputs!$B$70:$B$173,0)),"N/A")</f>
        <v>N/A</v>
      </c>
      <c r="G166" s="482"/>
      <c r="H166" s="482"/>
      <c r="I166" s="482"/>
      <c r="J166" s="482"/>
      <c r="K166" s="482"/>
      <c r="L166" s="482"/>
      <c r="M166" s="482"/>
      <c r="N166" s="482"/>
      <c r="O166" s="482"/>
    </row>
    <row r="167" spans="2:15" s="9" customFormat="1">
      <c r="B167" s="1302">
        <v>511</v>
      </c>
      <c r="C167" s="443" t="s">
        <v>1139</v>
      </c>
      <c r="D167" s="437" t="s">
        <v>1133</v>
      </c>
      <c r="E167" s="437" t="str">
        <f>IFERROR(INDEX(Inputs!$C$70:$C$173,MATCH('Stationary Energy - Buildings'!$B167,Inputs!$B$70:$B$173,0)),"N/A")</f>
        <v>N/A</v>
      </c>
      <c r="F167" s="1303" t="str">
        <f>IFERROR(INDEX(Inputs!$D$70:$D$173,MATCH('Stationary Energy - Buildings'!$B167,Inputs!$B$70:$B$173,0)),"N/A")</f>
        <v>N/A</v>
      </c>
      <c r="G167" s="482"/>
      <c r="H167" s="482"/>
      <c r="I167" s="482"/>
      <c r="J167" s="482"/>
      <c r="K167" s="482"/>
      <c r="L167" s="482"/>
      <c r="M167" s="482"/>
      <c r="N167" s="482"/>
      <c r="O167" s="482"/>
    </row>
    <row r="168" spans="2:15" s="9" customFormat="1">
      <c r="B168" s="1302">
        <v>512</v>
      </c>
      <c r="C168" s="443" t="s">
        <v>1140</v>
      </c>
      <c r="D168" s="437" t="s">
        <v>1133</v>
      </c>
      <c r="E168" s="437" t="str">
        <f>IFERROR(INDEX(Inputs!$C$70:$C$173,MATCH('Stationary Energy - Buildings'!$B168,Inputs!$B$70:$B$173,0)),"N/A")</f>
        <v>N/A</v>
      </c>
      <c r="F168" s="1303" t="str">
        <f>IFERROR(INDEX(Inputs!$D$70:$D$173,MATCH('Stationary Energy - Buildings'!$B168,Inputs!$B$70:$B$173,0)),"N/A")</f>
        <v>N/A</v>
      </c>
      <c r="G168" s="482"/>
      <c r="H168" s="482"/>
      <c r="I168" s="482"/>
      <c r="J168" s="482"/>
      <c r="K168" s="482"/>
      <c r="L168" s="482"/>
      <c r="M168" s="482"/>
      <c r="N168" s="482"/>
      <c r="O168" s="482"/>
    </row>
    <row r="169" spans="2:15" s="9" customFormat="1">
      <c r="B169" s="1302">
        <v>515</v>
      </c>
      <c r="C169" s="443" t="s">
        <v>1140</v>
      </c>
      <c r="D169" s="437" t="s">
        <v>1133</v>
      </c>
      <c r="E169" s="437" t="str">
        <f>IFERROR(INDEX(Inputs!$C$70:$C$173,MATCH('Stationary Energy - Buildings'!$B169,Inputs!$B$70:$B$173,0)),"N/A")</f>
        <v>N/A</v>
      </c>
      <c r="F169" s="1303" t="str">
        <f>IFERROR(INDEX(Inputs!$D$70:$D$173,MATCH('Stationary Energy - Buildings'!$B169,Inputs!$B$70:$B$173,0)),"N/A")</f>
        <v>N/A</v>
      </c>
      <c r="G169" s="482"/>
      <c r="H169" s="482"/>
      <c r="I169" s="482"/>
      <c r="J169" s="482"/>
      <c r="K169" s="482"/>
      <c r="L169" s="482"/>
      <c r="M169" s="482"/>
      <c r="N169" s="482"/>
      <c r="O169" s="482"/>
    </row>
    <row r="170" spans="2:15" s="9" customFormat="1">
      <c r="B170" s="1302">
        <v>516</v>
      </c>
      <c r="C170" s="443" t="s">
        <v>1139</v>
      </c>
      <c r="D170" s="437" t="s">
        <v>1133</v>
      </c>
      <c r="E170" s="437" t="str">
        <f>IFERROR(INDEX(Inputs!$C$70:$C$173,MATCH('Stationary Energy - Buildings'!$B170,Inputs!$B$70:$B$173,0)),"N/A")</f>
        <v>N/A</v>
      </c>
      <c r="F170" s="1303" t="str">
        <f>IFERROR(INDEX(Inputs!$D$70:$D$173,MATCH('Stationary Energy - Buildings'!$B170,Inputs!$B$70:$B$173,0)),"N/A")</f>
        <v>N/A</v>
      </c>
      <c r="G170" s="482"/>
      <c r="H170" s="482"/>
      <c r="I170" s="482"/>
      <c r="J170" s="482"/>
      <c r="K170" s="482"/>
      <c r="L170" s="482"/>
      <c r="M170" s="482"/>
      <c r="N170" s="482"/>
      <c r="O170" s="482"/>
    </row>
    <row r="171" spans="2:15" s="9" customFormat="1">
      <c r="B171" s="1302">
        <v>517</v>
      </c>
      <c r="C171" s="443" t="s">
        <v>1139</v>
      </c>
      <c r="D171" s="437" t="s">
        <v>1133</v>
      </c>
      <c r="E171" s="437" t="str">
        <f>IFERROR(INDEX(Inputs!$C$70:$C$173,MATCH('Stationary Energy - Buildings'!$B171,Inputs!$B$70:$B$173,0)),"N/A")</f>
        <v>N/A</v>
      </c>
      <c r="F171" s="1303" t="str">
        <f>IFERROR(INDEX(Inputs!$D$70:$D$173,MATCH('Stationary Energy - Buildings'!$B171,Inputs!$B$70:$B$173,0)),"N/A")</f>
        <v>N/A</v>
      </c>
      <c r="G171" s="482"/>
      <c r="H171" s="482"/>
      <c r="I171" s="482"/>
      <c r="J171" s="482"/>
      <c r="K171" s="482"/>
      <c r="L171" s="482"/>
      <c r="M171" s="482"/>
      <c r="N171" s="482"/>
      <c r="O171" s="482"/>
    </row>
    <row r="172" spans="2:15" s="9" customFormat="1">
      <c r="B172" s="1302">
        <v>518</v>
      </c>
      <c r="C172" s="443" t="s">
        <v>1139</v>
      </c>
      <c r="D172" s="437" t="s">
        <v>1133</v>
      </c>
      <c r="E172" s="437" t="str">
        <f>IFERROR(INDEX(Inputs!$C$70:$C$173,MATCH('Stationary Energy - Buildings'!$B172,Inputs!$B$70:$B$173,0)),"N/A")</f>
        <v>N/A</v>
      </c>
      <c r="F172" s="1303" t="str">
        <f>IFERROR(INDEX(Inputs!$D$70:$D$173,MATCH('Stationary Energy - Buildings'!$B172,Inputs!$B$70:$B$173,0)),"N/A")</f>
        <v>N/A</v>
      </c>
      <c r="G172" s="482"/>
      <c r="H172" s="482"/>
      <c r="I172" s="482"/>
      <c r="J172" s="482"/>
      <c r="K172" s="482"/>
      <c r="L172" s="482"/>
      <c r="M172" s="482"/>
      <c r="N172" s="482"/>
      <c r="O172" s="482"/>
    </row>
    <row r="173" spans="2:15" s="9" customFormat="1">
      <c r="B173" s="1302">
        <v>519</v>
      </c>
      <c r="C173" s="443" t="s">
        <v>1139</v>
      </c>
      <c r="D173" s="437" t="s">
        <v>1133</v>
      </c>
      <c r="E173" s="437" t="str">
        <f>IFERROR(INDEX(Inputs!$C$70:$C$173,MATCH('Stationary Energy - Buildings'!$B173,Inputs!$B$70:$B$173,0)),"N/A")</f>
        <v>N/A</v>
      </c>
      <c r="F173" s="1303" t="str">
        <f>IFERROR(INDEX(Inputs!$D$70:$D$173,MATCH('Stationary Energy - Buildings'!$B173,Inputs!$B$70:$B$173,0)),"N/A")</f>
        <v>N/A</v>
      </c>
      <c r="G173" s="482"/>
      <c r="H173" s="482"/>
      <c r="I173" s="482"/>
      <c r="J173" s="482"/>
      <c r="K173" s="482"/>
      <c r="L173" s="482"/>
      <c r="M173" s="482"/>
      <c r="N173" s="482"/>
      <c r="O173" s="482"/>
    </row>
    <row r="174" spans="2:15" s="9" customFormat="1">
      <c r="B174" s="1302">
        <v>521</v>
      </c>
      <c r="C174" s="443" t="s">
        <v>1139</v>
      </c>
      <c r="D174" s="437" t="s">
        <v>1133</v>
      </c>
      <c r="E174" s="437" t="str">
        <f>IFERROR(INDEX(Inputs!$C$70:$C$173,MATCH('Stationary Energy - Buildings'!$B174,Inputs!$B$70:$B$173,0)),"N/A")</f>
        <v>N/A</v>
      </c>
      <c r="F174" s="1303" t="str">
        <f>IFERROR(INDEX(Inputs!$D$70:$D$173,MATCH('Stationary Energy - Buildings'!$B174,Inputs!$B$70:$B$173,0)),"N/A")</f>
        <v>N/A</v>
      </c>
      <c r="G174" s="482"/>
      <c r="H174" s="482"/>
      <c r="I174" s="482"/>
      <c r="J174" s="482"/>
      <c r="K174" s="482"/>
      <c r="L174" s="482"/>
      <c r="M174" s="482"/>
      <c r="N174" s="482"/>
      <c r="O174" s="482"/>
    </row>
    <row r="175" spans="2:15" s="9" customFormat="1">
      <c r="B175" s="1302">
        <v>522</v>
      </c>
      <c r="C175" s="443" t="s">
        <v>1139</v>
      </c>
      <c r="D175" s="437" t="s">
        <v>1133</v>
      </c>
      <c r="E175" s="437" t="str">
        <f>IFERROR(INDEX(Inputs!$C$70:$C$173,MATCH('Stationary Energy - Buildings'!$B175,Inputs!$B$70:$B$173,0)),"N/A")</f>
        <v>N/A</v>
      </c>
      <c r="F175" s="1303" t="str">
        <f>IFERROR(INDEX(Inputs!$D$70:$D$173,MATCH('Stationary Energy - Buildings'!$B175,Inputs!$B$70:$B$173,0)),"N/A")</f>
        <v>N/A</v>
      </c>
      <c r="G175" s="482"/>
      <c r="H175" s="482"/>
      <c r="I175" s="482"/>
      <c r="J175" s="482"/>
      <c r="K175" s="482"/>
      <c r="L175" s="482"/>
      <c r="M175" s="482"/>
      <c r="N175" s="482"/>
      <c r="O175" s="482"/>
    </row>
    <row r="176" spans="2:15" s="9" customFormat="1">
      <c r="B176" s="1302">
        <v>523</v>
      </c>
      <c r="C176" s="443" t="s">
        <v>1139</v>
      </c>
      <c r="D176" s="437" t="s">
        <v>1133</v>
      </c>
      <c r="E176" s="437" t="str">
        <f>IFERROR(INDEX(Inputs!$C$70:$C$173,MATCH('Stationary Energy - Buildings'!$B176,Inputs!$B$70:$B$173,0)),"N/A")</f>
        <v>N/A</v>
      </c>
      <c r="F176" s="1303" t="str">
        <f>IFERROR(INDEX(Inputs!$D$70:$D$173,MATCH('Stationary Energy - Buildings'!$B176,Inputs!$B$70:$B$173,0)),"N/A")</f>
        <v>N/A</v>
      </c>
      <c r="G176" s="482"/>
      <c r="H176" s="482"/>
      <c r="I176" s="482"/>
      <c r="J176" s="482"/>
      <c r="K176" s="482"/>
      <c r="L176" s="482"/>
      <c r="M176" s="482"/>
      <c r="N176" s="482"/>
      <c r="O176" s="482"/>
    </row>
    <row r="177" spans="2:15" s="9" customFormat="1">
      <c r="B177" s="1302">
        <v>524</v>
      </c>
      <c r="C177" s="443" t="s">
        <v>1139</v>
      </c>
      <c r="D177" s="437" t="s">
        <v>1133</v>
      </c>
      <c r="E177" s="437" t="str">
        <f>IFERROR(INDEX(Inputs!$C$70:$C$173,MATCH('Stationary Energy - Buildings'!$B177,Inputs!$B$70:$B$173,0)),"N/A")</f>
        <v>N/A</v>
      </c>
      <c r="F177" s="1303" t="str">
        <f>IFERROR(INDEX(Inputs!$D$70:$D$173,MATCH('Stationary Energy - Buildings'!$B177,Inputs!$B$70:$B$173,0)),"N/A")</f>
        <v>N/A</v>
      </c>
      <c r="G177" s="482"/>
      <c r="H177" s="482"/>
      <c r="I177" s="482"/>
      <c r="J177" s="482"/>
      <c r="K177" s="482"/>
      <c r="L177" s="482"/>
      <c r="M177" s="482"/>
      <c r="N177" s="482"/>
      <c r="O177" s="482"/>
    </row>
    <row r="178" spans="2:15" s="9" customFormat="1">
      <c r="B178" s="1302">
        <v>525</v>
      </c>
      <c r="C178" s="443" t="s">
        <v>1139</v>
      </c>
      <c r="D178" s="437" t="s">
        <v>1133</v>
      </c>
      <c r="E178" s="437" t="str">
        <f>IFERROR(INDEX(Inputs!$C$70:$C$173,MATCH('Stationary Energy - Buildings'!$B178,Inputs!$B$70:$B$173,0)),"N/A")</f>
        <v>N/A</v>
      </c>
      <c r="F178" s="1303" t="str">
        <f>IFERROR(INDEX(Inputs!$D$70:$D$173,MATCH('Stationary Energy - Buildings'!$B178,Inputs!$B$70:$B$173,0)),"N/A")</f>
        <v>N/A</v>
      </c>
      <c r="G178" s="482"/>
      <c r="H178" s="482"/>
      <c r="I178" s="482"/>
      <c r="J178" s="482"/>
      <c r="K178" s="482"/>
      <c r="L178" s="482"/>
      <c r="M178" s="482"/>
      <c r="N178" s="482"/>
      <c r="O178" s="482"/>
    </row>
    <row r="179" spans="2:15" s="9" customFormat="1">
      <c r="B179" s="1302">
        <v>531</v>
      </c>
      <c r="C179" s="443" t="s">
        <v>1139</v>
      </c>
      <c r="D179" s="437" t="s">
        <v>1133</v>
      </c>
      <c r="E179" s="437" t="str">
        <f>IFERROR(INDEX(Inputs!$C$70:$C$173,MATCH('Stationary Energy - Buildings'!$B179,Inputs!$B$70:$B$173,0)),"N/A")</f>
        <v>N/A</v>
      </c>
      <c r="F179" s="1303" t="str">
        <f>IFERROR(INDEX(Inputs!$D$70:$D$173,MATCH('Stationary Energy - Buildings'!$B179,Inputs!$B$70:$B$173,0)),"N/A")</f>
        <v>N/A</v>
      </c>
      <c r="G179" s="482"/>
      <c r="H179" s="482"/>
      <c r="I179" s="482"/>
      <c r="J179" s="482"/>
      <c r="K179" s="482"/>
      <c r="L179" s="482"/>
      <c r="M179" s="482"/>
      <c r="N179" s="482"/>
      <c r="O179" s="482"/>
    </row>
    <row r="180" spans="2:15" s="9" customFormat="1">
      <c r="B180" s="1302">
        <v>532</v>
      </c>
      <c r="C180" s="443" t="s">
        <v>1135</v>
      </c>
      <c r="D180" s="437" t="s">
        <v>1133</v>
      </c>
      <c r="E180" s="437" t="str">
        <f>IFERROR(INDEX(Inputs!$C$70:$C$173,MATCH('Stationary Energy - Buildings'!$B180,Inputs!$B$70:$B$173,0)),"N/A")</f>
        <v>N/A</v>
      </c>
      <c r="F180" s="1303" t="str">
        <f>IFERROR(INDEX(Inputs!$D$70:$D$173,MATCH('Stationary Energy - Buildings'!$B180,Inputs!$B$70:$B$173,0)),"N/A")</f>
        <v>N/A</v>
      </c>
      <c r="G180" s="482"/>
      <c r="H180" s="482"/>
      <c r="I180" s="482"/>
      <c r="J180" s="482"/>
      <c r="K180" s="482"/>
      <c r="L180" s="482"/>
      <c r="M180" s="482"/>
      <c r="N180" s="482"/>
      <c r="O180" s="482"/>
    </row>
    <row r="181" spans="2:15" s="9" customFormat="1">
      <c r="B181" s="1302">
        <v>533</v>
      </c>
      <c r="C181" s="443" t="s">
        <v>1139</v>
      </c>
      <c r="D181" s="437" t="s">
        <v>1133</v>
      </c>
      <c r="E181" s="437" t="str">
        <f>IFERROR(INDEX(Inputs!$C$70:$C$173,MATCH('Stationary Energy - Buildings'!$B181,Inputs!$B$70:$B$173,0)),"N/A")</f>
        <v>N/A</v>
      </c>
      <c r="F181" s="1303" t="str">
        <f>IFERROR(INDEX(Inputs!$D$70:$D$173,MATCH('Stationary Energy - Buildings'!$B181,Inputs!$B$70:$B$173,0)),"N/A")</f>
        <v>N/A</v>
      </c>
      <c r="G181" s="482"/>
      <c r="H181" s="482"/>
      <c r="I181" s="482"/>
      <c r="J181" s="482"/>
      <c r="K181" s="482"/>
      <c r="L181" s="482"/>
      <c r="M181" s="482"/>
      <c r="N181" s="482"/>
      <c r="O181" s="482"/>
    </row>
    <row r="182" spans="2:15" s="9" customFormat="1">
      <c r="B182" s="1302">
        <v>541</v>
      </c>
      <c r="C182" s="443" t="s">
        <v>1139</v>
      </c>
      <c r="D182" s="437" t="s">
        <v>1133</v>
      </c>
      <c r="E182" s="437" t="str">
        <f>IFERROR(INDEX(Inputs!$C$70:$C$173,MATCH('Stationary Energy - Buildings'!$B182,Inputs!$B$70:$B$173,0)),"N/A")</f>
        <v>N/A</v>
      </c>
      <c r="F182" s="1303" t="str">
        <f>IFERROR(INDEX(Inputs!$D$70:$D$173,MATCH('Stationary Energy - Buildings'!$B182,Inputs!$B$70:$B$173,0)),"N/A")</f>
        <v>N/A</v>
      </c>
      <c r="G182" s="482"/>
      <c r="H182" s="482"/>
      <c r="I182" s="482"/>
      <c r="J182" s="482"/>
      <c r="K182" s="482"/>
      <c r="L182" s="482"/>
      <c r="M182" s="482"/>
      <c r="N182" s="482"/>
      <c r="O182" s="482"/>
    </row>
    <row r="183" spans="2:15" s="9" customFormat="1">
      <c r="B183" s="1302">
        <v>551</v>
      </c>
      <c r="C183" s="443" t="s">
        <v>1139</v>
      </c>
      <c r="D183" s="437" t="s">
        <v>1133</v>
      </c>
      <c r="E183" s="437" t="str">
        <f>IFERROR(INDEX(Inputs!$C$70:$C$173,MATCH('Stationary Energy - Buildings'!$B183,Inputs!$B$70:$B$173,0)),"N/A")</f>
        <v>N/A</v>
      </c>
      <c r="F183" s="1303" t="str">
        <f>IFERROR(INDEX(Inputs!$D$70:$D$173,MATCH('Stationary Energy - Buildings'!$B183,Inputs!$B$70:$B$173,0)),"N/A")</f>
        <v>N/A</v>
      </c>
      <c r="G183" s="482"/>
      <c r="H183" s="482"/>
      <c r="I183" s="482"/>
      <c r="J183" s="482"/>
      <c r="K183" s="482"/>
      <c r="L183" s="482"/>
      <c r="M183" s="482"/>
      <c r="N183" s="482"/>
      <c r="O183" s="482"/>
    </row>
    <row r="184" spans="2:15" s="9" customFormat="1">
      <c r="B184" s="1302">
        <v>561</v>
      </c>
      <c r="C184" s="443" t="s">
        <v>1139</v>
      </c>
      <c r="D184" s="437" t="s">
        <v>1133</v>
      </c>
      <c r="E184" s="437" t="str">
        <f>IFERROR(INDEX(Inputs!$C$70:$C$173,MATCH('Stationary Energy - Buildings'!$B184,Inputs!$B$70:$B$173,0)),"N/A")</f>
        <v>N/A</v>
      </c>
      <c r="F184" s="1303" t="str">
        <f>IFERROR(INDEX(Inputs!$D$70:$D$173,MATCH('Stationary Energy - Buildings'!$B184,Inputs!$B$70:$B$173,0)),"N/A")</f>
        <v>N/A</v>
      </c>
      <c r="G184" s="482"/>
      <c r="H184" s="482"/>
      <c r="I184" s="482"/>
      <c r="J184" s="482"/>
      <c r="K184" s="482"/>
      <c r="L184" s="482"/>
      <c r="M184" s="482"/>
      <c r="N184" s="482"/>
      <c r="O184" s="482"/>
    </row>
    <row r="185" spans="2:15" s="9" customFormat="1">
      <c r="B185" s="1302">
        <v>562</v>
      </c>
      <c r="C185" s="443" t="s">
        <v>1121</v>
      </c>
      <c r="D185" s="437" t="s">
        <v>1133</v>
      </c>
      <c r="E185" s="437" t="str">
        <f>IFERROR(INDEX(Inputs!$C$70:$C$173,MATCH('Stationary Energy - Buildings'!$B185,Inputs!$B$70:$B$173,0)),"N/A")</f>
        <v>N/A</v>
      </c>
      <c r="F185" s="1303" t="str">
        <f>IFERROR(INDEX(Inputs!$D$70:$D$173,MATCH('Stationary Energy - Buildings'!$B185,Inputs!$B$70:$B$173,0)),"N/A")</f>
        <v>N/A</v>
      </c>
      <c r="G185" s="482"/>
      <c r="H185" s="482"/>
      <c r="I185" s="482"/>
      <c r="J185" s="482"/>
      <c r="K185" s="482"/>
      <c r="L185" s="482"/>
      <c r="M185" s="482"/>
      <c r="N185" s="482"/>
      <c r="O185" s="482"/>
    </row>
    <row r="186" spans="2:15" s="9" customFormat="1">
      <c r="B186" s="1302">
        <v>611</v>
      </c>
      <c r="C186" s="443" t="s">
        <v>1060</v>
      </c>
      <c r="D186" s="437" t="s">
        <v>1133</v>
      </c>
      <c r="E186" s="437" t="str">
        <f>IFERROR(INDEX(Inputs!$C$70:$C$173,MATCH('Stationary Energy - Buildings'!$B186,Inputs!$B$70:$B$173,0)),"N/A")</f>
        <v>N/A</v>
      </c>
      <c r="F186" s="1303" t="str">
        <f>IFERROR(INDEX(Inputs!$D$70:$D$173,MATCH('Stationary Energy - Buildings'!$B186,Inputs!$B$70:$B$173,0)),"N/A")</f>
        <v>N/A</v>
      </c>
      <c r="G186" s="482"/>
      <c r="H186" s="482"/>
      <c r="I186" s="482"/>
      <c r="J186" s="482"/>
      <c r="K186" s="482"/>
      <c r="L186" s="482"/>
      <c r="M186" s="482"/>
      <c r="N186" s="482"/>
      <c r="O186" s="482"/>
    </row>
    <row r="187" spans="2:15" s="9" customFormat="1">
      <c r="B187" s="1302">
        <v>621</v>
      </c>
      <c r="C187" s="443" t="s">
        <v>1142</v>
      </c>
      <c r="D187" s="437" t="s">
        <v>1133</v>
      </c>
      <c r="E187" s="437" t="str">
        <f>IFERROR(INDEX(Inputs!$C$70:$C$173,MATCH('Stationary Energy - Buildings'!$B187,Inputs!$B$70:$B$173,0)),"N/A")</f>
        <v>N/A</v>
      </c>
      <c r="F187" s="1303" t="str">
        <f>IFERROR(INDEX(Inputs!$D$70:$D$173,MATCH('Stationary Energy - Buildings'!$B187,Inputs!$B$70:$B$173,0)),"N/A")</f>
        <v>N/A</v>
      </c>
      <c r="G187" s="482"/>
      <c r="H187" s="482"/>
      <c r="I187" s="482"/>
      <c r="J187" s="482"/>
      <c r="K187" s="482"/>
      <c r="L187" s="482"/>
      <c r="M187" s="482"/>
      <c r="N187" s="482"/>
      <c r="O187" s="482"/>
    </row>
    <row r="188" spans="2:15" s="9" customFormat="1">
      <c r="B188" s="1302">
        <v>622</v>
      </c>
      <c r="C188" s="443" t="s">
        <v>1143</v>
      </c>
      <c r="D188" s="437" t="s">
        <v>1133</v>
      </c>
      <c r="E188" s="437" t="str">
        <f>IFERROR(INDEX(Inputs!$C$70:$C$173,MATCH('Stationary Energy - Buildings'!$B188,Inputs!$B$70:$B$173,0)),"N/A")</f>
        <v>N/A</v>
      </c>
      <c r="F188" s="1303" t="str">
        <f>IFERROR(INDEX(Inputs!$D$70:$D$173,MATCH('Stationary Energy - Buildings'!$B188,Inputs!$B$70:$B$173,0)),"N/A")</f>
        <v>N/A</v>
      </c>
      <c r="G188" s="482"/>
      <c r="H188" s="482"/>
      <c r="I188" s="482"/>
      <c r="J188" s="482"/>
      <c r="K188" s="482"/>
      <c r="L188" s="482"/>
      <c r="M188" s="482"/>
      <c r="N188" s="482"/>
      <c r="O188" s="482"/>
    </row>
    <row r="189" spans="2:15" s="9" customFormat="1">
      <c r="B189" s="1302">
        <v>623</v>
      </c>
      <c r="C189" s="443" t="s">
        <v>1144</v>
      </c>
      <c r="D189" s="437" t="s">
        <v>1133</v>
      </c>
      <c r="E189" s="437" t="str">
        <f>IFERROR(INDEX(Inputs!$C$70:$C$173,MATCH('Stationary Energy - Buildings'!$B189,Inputs!$B$70:$B$173,0)),"N/A")</f>
        <v>N/A</v>
      </c>
      <c r="F189" s="1303" t="str">
        <f>IFERROR(INDEX(Inputs!$D$70:$D$173,MATCH('Stationary Energy - Buildings'!$B189,Inputs!$B$70:$B$173,0)),"N/A")</f>
        <v>N/A</v>
      </c>
      <c r="G189" s="482"/>
      <c r="H189" s="482"/>
      <c r="I189" s="482"/>
      <c r="J189" s="482"/>
      <c r="K189" s="482"/>
      <c r="L189" s="482"/>
      <c r="M189" s="482"/>
      <c r="N189" s="482"/>
      <c r="O189" s="482"/>
    </row>
    <row r="190" spans="2:15" s="9" customFormat="1">
      <c r="B190" s="1302">
        <v>624</v>
      </c>
      <c r="C190" s="443" t="s">
        <v>1139</v>
      </c>
      <c r="D190" s="437" t="s">
        <v>1133</v>
      </c>
      <c r="E190" s="437" t="str">
        <f>IFERROR(INDEX(Inputs!$C$70:$C$173,MATCH('Stationary Energy - Buildings'!$B190,Inputs!$B$70:$B$173,0)),"N/A")</f>
        <v>N/A</v>
      </c>
      <c r="F190" s="1303" t="str">
        <f>IFERROR(INDEX(Inputs!$D$70:$D$173,MATCH('Stationary Energy - Buildings'!$B190,Inputs!$B$70:$B$173,0)),"N/A")</f>
        <v>N/A</v>
      </c>
      <c r="G190" s="482"/>
      <c r="H190" s="482"/>
      <c r="I190" s="482"/>
      <c r="J190" s="482"/>
      <c r="K190" s="482"/>
      <c r="L190" s="482"/>
      <c r="M190" s="482"/>
      <c r="N190" s="482"/>
      <c r="O190" s="482"/>
    </row>
    <row r="191" spans="2:15" s="9" customFormat="1">
      <c r="B191" s="1302">
        <v>711</v>
      </c>
      <c r="C191" s="443" t="s">
        <v>1140</v>
      </c>
      <c r="D191" s="437" t="s">
        <v>1133</v>
      </c>
      <c r="E191" s="437" t="str">
        <f>IFERROR(INDEX(Inputs!$C$70:$C$173,MATCH('Stationary Energy - Buildings'!$B191,Inputs!$B$70:$B$173,0)),"N/A")</f>
        <v>N/A</v>
      </c>
      <c r="F191" s="1303" t="str">
        <f>IFERROR(INDEX(Inputs!$D$70:$D$173,MATCH('Stationary Energy - Buildings'!$B191,Inputs!$B$70:$B$173,0)),"N/A")</f>
        <v>N/A</v>
      </c>
      <c r="G191" s="482"/>
      <c r="H191" s="482"/>
      <c r="I191" s="482"/>
      <c r="J191" s="482"/>
      <c r="K191" s="482"/>
      <c r="L191" s="482"/>
      <c r="M191" s="482"/>
      <c r="N191" s="482"/>
      <c r="O191" s="482"/>
    </row>
    <row r="192" spans="2:15" s="9" customFormat="1">
      <c r="B192" s="1302">
        <v>712</v>
      </c>
      <c r="C192" s="443" t="s">
        <v>1140</v>
      </c>
      <c r="D192" s="437" t="s">
        <v>1133</v>
      </c>
      <c r="E192" s="437" t="str">
        <f>IFERROR(INDEX(Inputs!$C$70:$C$173,MATCH('Stationary Energy - Buildings'!$B192,Inputs!$B$70:$B$173,0)),"N/A")</f>
        <v>N/A</v>
      </c>
      <c r="F192" s="1303" t="str">
        <f>IFERROR(INDEX(Inputs!$D$70:$D$173,MATCH('Stationary Energy - Buildings'!$B192,Inputs!$B$70:$B$173,0)),"N/A")</f>
        <v>N/A</v>
      </c>
      <c r="G192" s="482"/>
      <c r="H192" s="482"/>
      <c r="I192" s="482"/>
      <c r="J192" s="482"/>
      <c r="K192" s="482"/>
      <c r="L192" s="482"/>
      <c r="M192" s="482"/>
      <c r="N192" s="482"/>
      <c r="O192" s="482"/>
    </row>
    <row r="193" spans="2:15" s="9" customFormat="1">
      <c r="B193" s="1302">
        <v>713</v>
      </c>
      <c r="C193" s="443" t="s">
        <v>1140</v>
      </c>
      <c r="D193" s="437" t="s">
        <v>1133</v>
      </c>
      <c r="E193" s="437" t="str">
        <f>IFERROR(INDEX(Inputs!$C$70:$C$173,MATCH('Stationary Energy - Buildings'!$B193,Inputs!$B$70:$B$173,0)),"N/A")</f>
        <v>N/A</v>
      </c>
      <c r="F193" s="1303" t="str">
        <f>IFERROR(INDEX(Inputs!$D$70:$D$173,MATCH('Stationary Energy - Buildings'!$B193,Inputs!$B$70:$B$173,0)),"N/A")</f>
        <v>N/A</v>
      </c>
      <c r="G193" s="482"/>
      <c r="H193" s="482"/>
      <c r="I193" s="482"/>
      <c r="J193" s="482"/>
      <c r="K193" s="482"/>
      <c r="L193" s="482"/>
      <c r="M193" s="482"/>
      <c r="N193" s="482"/>
      <c r="O193" s="482"/>
    </row>
    <row r="194" spans="2:15" s="9" customFormat="1">
      <c r="B194" s="1302">
        <v>721</v>
      </c>
      <c r="C194" s="443" t="s">
        <v>1144</v>
      </c>
      <c r="D194" s="437" t="s">
        <v>1133</v>
      </c>
      <c r="E194" s="437" t="str">
        <f>IFERROR(INDEX(Inputs!$C$70:$C$173,MATCH('Stationary Energy - Buildings'!$B194,Inputs!$B$70:$B$173,0)),"N/A")</f>
        <v>N/A</v>
      </c>
      <c r="F194" s="1303" t="str">
        <f>IFERROR(INDEX(Inputs!$D$70:$D$173,MATCH('Stationary Energy - Buildings'!$B194,Inputs!$B$70:$B$173,0)),"N/A")</f>
        <v>N/A</v>
      </c>
      <c r="G194" s="482"/>
      <c r="H194" s="482"/>
      <c r="I194" s="482"/>
      <c r="J194" s="482"/>
      <c r="K194" s="482"/>
      <c r="L194" s="482"/>
      <c r="M194" s="482"/>
      <c r="N194" s="482"/>
      <c r="O194" s="482"/>
    </row>
    <row r="195" spans="2:15" s="9" customFormat="1">
      <c r="B195" s="1302">
        <v>722</v>
      </c>
      <c r="C195" s="443" t="s">
        <v>1145</v>
      </c>
      <c r="D195" s="437" t="s">
        <v>1133</v>
      </c>
      <c r="E195" s="437" t="str">
        <f>IFERROR(INDEX(Inputs!$C$70:$C$173,MATCH('Stationary Energy - Buildings'!$B195,Inputs!$B$70:$B$173,0)),"N/A")</f>
        <v>N/A</v>
      </c>
      <c r="F195" s="1303" t="str">
        <f>IFERROR(INDEX(Inputs!$D$70:$D$173,MATCH('Stationary Energy - Buildings'!$B195,Inputs!$B$70:$B$173,0)),"N/A")</f>
        <v>N/A</v>
      </c>
      <c r="G195" s="482"/>
      <c r="H195" s="482"/>
      <c r="I195" s="482"/>
      <c r="J195" s="482"/>
      <c r="K195" s="482"/>
      <c r="L195" s="482"/>
      <c r="M195" s="482"/>
      <c r="N195" s="482"/>
      <c r="O195" s="482"/>
    </row>
    <row r="196" spans="2:15" s="9" customFormat="1">
      <c r="B196" s="1302">
        <v>811</v>
      </c>
      <c r="C196" s="443" t="s">
        <v>1138</v>
      </c>
      <c r="D196" s="437" t="s">
        <v>1133</v>
      </c>
      <c r="E196" s="437" t="str">
        <f>IFERROR(INDEX(Inputs!$C$70:$C$173,MATCH('Stationary Energy - Buildings'!$B196,Inputs!$B$70:$B$173,0)),"N/A")</f>
        <v>N/A</v>
      </c>
      <c r="F196" s="1303" t="str">
        <f>IFERROR(INDEX(Inputs!$D$70:$D$173,MATCH('Stationary Energy - Buildings'!$B196,Inputs!$B$70:$B$173,0)),"N/A")</f>
        <v>N/A</v>
      </c>
      <c r="G196" s="482"/>
      <c r="H196" s="482"/>
      <c r="I196" s="482"/>
      <c r="J196" s="482"/>
      <c r="K196" s="482"/>
      <c r="L196" s="482"/>
      <c r="M196" s="482"/>
      <c r="N196" s="482"/>
      <c r="O196" s="482"/>
    </row>
    <row r="197" spans="2:15" s="9" customFormat="1">
      <c r="B197" s="1302">
        <v>812</v>
      </c>
      <c r="C197" s="443" t="s">
        <v>1138</v>
      </c>
      <c r="D197" s="437" t="s">
        <v>1133</v>
      </c>
      <c r="E197" s="437" t="str">
        <f>IFERROR(INDEX(Inputs!$C$70:$C$173,MATCH('Stationary Energy - Buildings'!$B197,Inputs!$B$70:$B$173,0)),"N/A")</f>
        <v>N/A</v>
      </c>
      <c r="F197" s="1303" t="str">
        <f>IFERROR(INDEX(Inputs!$D$70:$D$173,MATCH('Stationary Energy - Buildings'!$B197,Inputs!$B$70:$B$173,0)),"N/A")</f>
        <v>N/A</v>
      </c>
      <c r="G197" s="482"/>
      <c r="H197" s="482"/>
      <c r="I197" s="482"/>
      <c r="J197" s="482"/>
      <c r="K197" s="482"/>
      <c r="L197" s="482"/>
      <c r="M197" s="482"/>
      <c r="N197" s="482"/>
      <c r="O197" s="482"/>
    </row>
    <row r="198" spans="2:15" s="9" customFormat="1">
      <c r="B198" s="1302">
        <v>813</v>
      </c>
      <c r="C198" s="443" t="s">
        <v>1146</v>
      </c>
      <c r="D198" s="437" t="s">
        <v>1133</v>
      </c>
      <c r="E198" s="437" t="str">
        <f>IFERROR(INDEX(Inputs!$C$70:$C$173,MATCH('Stationary Energy - Buildings'!$B198,Inputs!$B$70:$B$173,0)),"N/A")</f>
        <v>N/A</v>
      </c>
      <c r="F198" s="1303" t="str">
        <f>IFERROR(INDEX(Inputs!$D$70:$D$173,MATCH('Stationary Energy - Buildings'!$B198,Inputs!$B$70:$B$173,0)),"N/A")</f>
        <v>N/A</v>
      </c>
      <c r="G198" s="482"/>
      <c r="H198" s="482"/>
      <c r="I198" s="482"/>
      <c r="J198" s="482"/>
      <c r="K198" s="482"/>
      <c r="L198" s="482"/>
      <c r="M198" s="482"/>
      <c r="N198" s="482"/>
      <c r="O198" s="482"/>
    </row>
    <row r="199" spans="2:15" s="9" customFormat="1">
      <c r="B199" s="1302">
        <v>814</v>
      </c>
      <c r="C199" s="443" t="s">
        <v>1147</v>
      </c>
      <c r="D199" s="437" t="s">
        <v>1121</v>
      </c>
      <c r="E199" s="437" t="str">
        <f>IFERROR(INDEX(Inputs!$C$70:$C$173,MATCH('Stationary Energy - Buildings'!$B199,Inputs!$B$70:$B$173,0)),"N/A")</f>
        <v>N/A</v>
      </c>
      <c r="F199" s="1303" t="str">
        <f>IFERROR(INDEX(Inputs!$D$70:$D$173,MATCH('Stationary Energy - Buildings'!$B199,Inputs!$B$70:$B$173,0)),"N/A")</f>
        <v>N/A</v>
      </c>
      <c r="G199" s="482"/>
      <c r="H199" s="482"/>
      <c r="I199" s="482"/>
      <c r="J199" s="482"/>
      <c r="K199" s="482"/>
      <c r="L199" s="482"/>
      <c r="M199" s="482"/>
      <c r="N199" s="482"/>
      <c r="O199" s="482"/>
    </row>
    <row r="200" spans="2:15" s="9" customFormat="1">
      <c r="B200" s="1302">
        <v>921</v>
      </c>
      <c r="C200" s="443" t="s">
        <v>1139</v>
      </c>
      <c r="D200" s="437" t="s">
        <v>1133</v>
      </c>
      <c r="E200" s="437" t="str">
        <f>IFERROR(INDEX(Inputs!$C$70:$C$173,MATCH('Stationary Energy - Buildings'!$B200,Inputs!$B$70:$B$173,0)),"N/A")</f>
        <v>N/A</v>
      </c>
      <c r="F200" s="1303" t="str">
        <f>IFERROR(INDEX(Inputs!$D$70:$D$173,MATCH('Stationary Energy - Buildings'!$B200,Inputs!$B$70:$B$173,0)),"N/A")</f>
        <v>N/A</v>
      </c>
      <c r="G200" s="482"/>
      <c r="H200" s="482"/>
      <c r="I200" s="482"/>
      <c r="J200" s="482"/>
      <c r="K200" s="482"/>
      <c r="L200" s="482"/>
      <c r="M200" s="482"/>
      <c r="N200" s="482"/>
      <c r="O200" s="482"/>
    </row>
    <row r="201" spans="2:15" s="9" customFormat="1">
      <c r="B201" s="1302">
        <v>922</v>
      </c>
      <c r="C201" s="443" t="s">
        <v>1148</v>
      </c>
      <c r="D201" s="437" t="s">
        <v>1133</v>
      </c>
      <c r="E201" s="437" t="str">
        <f>IFERROR(INDEX(Inputs!$C$70:$C$173,MATCH('Stationary Energy - Buildings'!$B201,Inputs!$B$70:$B$173,0)),"N/A")</f>
        <v>N/A</v>
      </c>
      <c r="F201" s="1303" t="str">
        <f>IFERROR(INDEX(Inputs!$D$70:$D$173,MATCH('Stationary Energy - Buildings'!$B201,Inputs!$B$70:$B$173,0)),"N/A")</f>
        <v>N/A</v>
      </c>
      <c r="G201" s="482"/>
      <c r="H201" s="482"/>
      <c r="I201" s="482"/>
      <c r="J201" s="482"/>
      <c r="K201" s="482"/>
      <c r="L201" s="482"/>
      <c r="M201" s="482"/>
      <c r="N201" s="482"/>
      <c r="O201" s="482"/>
    </row>
    <row r="202" spans="2:15" s="9" customFormat="1">
      <c r="B202" s="1302">
        <v>923</v>
      </c>
      <c r="C202" s="443" t="s">
        <v>1139</v>
      </c>
      <c r="D202" s="437" t="s">
        <v>1133</v>
      </c>
      <c r="E202" s="437" t="str">
        <f>IFERROR(INDEX(Inputs!$C$70:$C$173,MATCH('Stationary Energy - Buildings'!$B202,Inputs!$B$70:$B$173,0)),"N/A")</f>
        <v>N/A</v>
      </c>
      <c r="F202" s="1303" t="str">
        <f>IFERROR(INDEX(Inputs!$D$70:$D$173,MATCH('Stationary Energy - Buildings'!$B202,Inputs!$B$70:$B$173,0)),"N/A")</f>
        <v>N/A</v>
      </c>
      <c r="G202" s="482"/>
      <c r="H202" s="482"/>
      <c r="I202" s="482"/>
      <c r="J202" s="482"/>
      <c r="K202" s="482"/>
      <c r="L202" s="482"/>
      <c r="M202" s="482"/>
      <c r="N202" s="482"/>
      <c r="O202" s="482"/>
    </row>
    <row r="203" spans="2:15" s="9" customFormat="1">
      <c r="B203" s="1302">
        <v>924</v>
      </c>
      <c r="C203" s="443" t="s">
        <v>1139</v>
      </c>
      <c r="D203" s="437" t="s">
        <v>1133</v>
      </c>
      <c r="E203" s="437" t="str">
        <f>IFERROR(INDEX(Inputs!$C$70:$C$173,MATCH('Stationary Energy - Buildings'!$B203,Inputs!$B$70:$B$173,0)),"N/A")</f>
        <v>N/A</v>
      </c>
      <c r="F203" s="1303" t="str">
        <f>IFERROR(INDEX(Inputs!$D$70:$D$173,MATCH('Stationary Energy - Buildings'!$B203,Inputs!$B$70:$B$173,0)),"N/A")</f>
        <v>N/A</v>
      </c>
      <c r="G203" s="482"/>
      <c r="H203" s="482"/>
      <c r="I203" s="482"/>
      <c r="J203" s="482"/>
      <c r="K203" s="482"/>
      <c r="L203" s="482"/>
      <c r="M203" s="482"/>
      <c r="N203" s="482"/>
      <c r="O203" s="482"/>
    </row>
    <row r="204" spans="2:15" s="9" customFormat="1">
      <c r="B204" s="1302">
        <v>925</v>
      </c>
      <c r="C204" s="443" t="s">
        <v>1139</v>
      </c>
      <c r="D204" s="437" t="s">
        <v>1133</v>
      </c>
      <c r="E204" s="437" t="str">
        <f>IFERROR(INDEX(Inputs!$C$70:$C$173,MATCH('Stationary Energy - Buildings'!$B204,Inputs!$B$70:$B$173,0)),"N/A")</f>
        <v>N/A</v>
      </c>
      <c r="F204" s="1303" t="str">
        <f>IFERROR(INDEX(Inputs!$D$70:$D$173,MATCH('Stationary Energy - Buildings'!$B204,Inputs!$B$70:$B$173,0)),"N/A")</f>
        <v>N/A</v>
      </c>
      <c r="G204" s="482"/>
      <c r="H204" s="482"/>
      <c r="I204" s="482"/>
      <c r="J204" s="482"/>
      <c r="K204" s="482"/>
      <c r="L204" s="482"/>
      <c r="M204" s="482"/>
      <c r="N204" s="482"/>
      <c r="O204" s="482"/>
    </row>
    <row r="205" spans="2:15" s="9" customFormat="1">
      <c r="B205" s="1302">
        <v>926</v>
      </c>
      <c r="C205" s="443" t="s">
        <v>1139</v>
      </c>
      <c r="D205" s="437" t="s">
        <v>1133</v>
      </c>
      <c r="E205" s="437" t="str">
        <f>IFERROR(INDEX(Inputs!$C$70:$C$173,MATCH('Stationary Energy - Buildings'!$B205,Inputs!$B$70:$B$173,0)),"N/A")</f>
        <v>N/A</v>
      </c>
      <c r="F205" s="1303" t="str">
        <f>IFERROR(INDEX(Inputs!$D$70:$D$173,MATCH('Stationary Energy - Buildings'!$B205,Inputs!$B$70:$B$173,0)),"N/A")</f>
        <v>N/A</v>
      </c>
      <c r="G205" s="482"/>
      <c r="H205" s="482"/>
      <c r="I205" s="482"/>
      <c r="J205" s="482"/>
      <c r="K205" s="482"/>
      <c r="L205" s="482"/>
      <c r="M205" s="482"/>
      <c r="N205" s="482"/>
      <c r="O205" s="482"/>
    </row>
    <row r="206" spans="2:15" s="9" customFormat="1">
      <c r="B206" s="1302">
        <v>927</v>
      </c>
      <c r="C206" s="443" t="s">
        <v>1121</v>
      </c>
      <c r="D206" s="437" t="s">
        <v>1133</v>
      </c>
      <c r="E206" s="437" t="str">
        <f>IFERROR(INDEX(Inputs!$C$70:$C$173,MATCH('Stationary Energy - Buildings'!$B206,Inputs!$B$70:$B$173,0)),"N/A")</f>
        <v>N/A</v>
      </c>
      <c r="F206" s="1303" t="str">
        <f>IFERROR(INDEX(Inputs!$D$70:$D$173,MATCH('Stationary Energy - Buildings'!$B206,Inputs!$B$70:$B$173,0)),"N/A")</f>
        <v>N/A</v>
      </c>
      <c r="G206" s="482"/>
      <c r="H206" s="482"/>
      <c r="I206" s="482"/>
      <c r="J206" s="482"/>
      <c r="K206" s="482"/>
      <c r="L206" s="482"/>
      <c r="M206" s="482"/>
      <c r="N206" s="482"/>
      <c r="O206" s="482"/>
    </row>
    <row r="207" spans="2:15" s="9" customFormat="1" ht="13.9" thickBot="1">
      <c r="B207" s="1304">
        <v>928</v>
      </c>
      <c r="C207" s="1305" t="s">
        <v>1139</v>
      </c>
      <c r="D207" s="444" t="s">
        <v>1133</v>
      </c>
      <c r="E207" s="437" t="str">
        <f>IFERROR(INDEX(Inputs!$C$70:$C$173,MATCH('Stationary Energy - Buildings'!$B207,Inputs!$B$70:$B$173,0)),"N/A")</f>
        <v>N/A</v>
      </c>
      <c r="F207" s="1303" t="str">
        <f>IFERROR(INDEX(Inputs!$D$70:$D$173,MATCH('Stationary Energy - Buildings'!$B207,Inputs!$B$70:$B$173,0)),"N/A")</f>
        <v>N/A</v>
      </c>
      <c r="G207" s="482"/>
      <c r="H207" s="482"/>
      <c r="I207" s="482"/>
      <c r="J207" s="482"/>
      <c r="K207" s="482"/>
      <c r="L207" s="482"/>
      <c r="M207" s="482"/>
      <c r="N207" s="482"/>
      <c r="O207" s="482"/>
    </row>
    <row r="208" spans="2:15" s="9" customFormat="1" ht="39.75" customHeight="1" thickBot="1">
      <c r="B208" s="1690" t="s">
        <v>1149</v>
      </c>
      <c r="C208" s="1908"/>
      <c r="D208" s="1908"/>
      <c r="E208" s="1908"/>
      <c r="F208" s="747" t="s">
        <v>64</v>
      </c>
      <c r="G208" s="482"/>
      <c r="H208" s="482"/>
      <c r="I208" s="482"/>
      <c r="J208" s="482"/>
      <c r="K208" s="482"/>
      <c r="L208" s="482"/>
      <c r="M208" s="482"/>
      <c r="N208" s="482"/>
      <c r="O208" s="482"/>
    </row>
    <row r="209" spans="2:15" s="9" customFormat="1" ht="15" thickBot="1">
      <c r="B209" s="26"/>
      <c r="C209" s="26"/>
      <c r="D209" s="26"/>
      <c r="E209" s="26"/>
      <c r="F209" s="26"/>
      <c r="G209" s="26"/>
      <c r="H209" s="27"/>
      <c r="I209" s="27"/>
      <c r="J209" s="27"/>
      <c r="K209" s="30"/>
      <c r="L209" s="30"/>
      <c r="M209" s="30"/>
      <c r="N209" s="30"/>
      <c r="O209" s="30"/>
    </row>
    <row r="210" spans="2:15" s="9" customFormat="1" ht="15.75" customHeight="1" thickBot="1">
      <c r="B210" s="1890" t="s">
        <v>1150</v>
      </c>
      <c r="C210" s="1946"/>
      <c r="D210" s="1946"/>
      <c r="E210" s="1946"/>
      <c r="F210" s="1947"/>
      <c r="G210" s="436"/>
      <c r="H210" s="27"/>
      <c r="I210" s="27"/>
      <c r="J210" s="27"/>
      <c r="K210" s="30"/>
      <c r="L210" s="30"/>
      <c r="M210" s="30"/>
      <c r="N210" s="30"/>
      <c r="O210" s="30"/>
    </row>
    <row r="211" spans="2:15" s="9" customFormat="1" ht="26.45">
      <c r="B211" s="62" t="s">
        <v>300</v>
      </c>
      <c r="C211" s="54" t="s">
        <v>301</v>
      </c>
      <c r="D211" s="54" t="s">
        <v>1151</v>
      </c>
      <c r="E211" s="130" t="s">
        <v>302</v>
      </c>
      <c r="F211" s="55" t="s">
        <v>1152</v>
      </c>
      <c r="G211" s="26"/>
      <c r="H211" s="27"/>
      <c r="I211" s="27"/>
      <c r="J211" s="27"/>
      <c r="K211" s="30"/>
      <c r="L211" s="30"/>
      <c r="M211" s="30"/>
      <c r="N211" s="30"/>
      <c r="O211" s="30"/>
    </row>
    <row r="212" spans="2:15" s="9" customFormat="1" ht="15" thickBot="1">
      <c r="B212" s="912">
        <f>'Adjust Inventory Year'!B93</f>
        <v>54237623</v>
      </c>
      <c r="C212" s="1415">
        <f>'Adjust Inventory Year'!C93</f>
        <v>838517</v>
      </c>
      <c r="D212" s="1415">
        <f>B212-C212</f>
        <v>53399106</v>
      </c>
      <c r="E212" s="1306">
        <f>'Adjust Inventory Year'!E93</f>
        <v>2757769</v>
      </c>
      <c r="F212" s="1416">
        <f>E212/D212</f>
        <v>5.1644478842024062E-2</v>
      </c>
      <c r="G212" s="26"/>
      <c r="H212" s="26"/>
      <c r="I212" s="27"/>
      <c r="J212" s="27"/>
      <c r="K212" s="27"/>
      <c r="L212" s="30"/>
      <c r="M212" s="30"/>
      <c r="N212" s="30"/>
      <c r="O212" s="30"/>
    </row>
    <row r="213" spans="2:15" s="9" customFormat="1" ht="55.5" customHeight="1" thickBot="1">
      <c r="B213" s="1678" t="s">
        <v>1153</v>
      </c>
      <c r="C213" s="1751"/>
      <c r="D213" s="1751"/>
      <c r="E213" s="1679"/>
      <c r="F213" s="435" t="str">
        <f>'Adjust Inventory Year'!E90</f>
        <v>US EIA MA Electricity Profile</v>
      </c>
      <c r="G213" s="343"/>
      <c r="H213" s="26"/>
      <c r="I213" s="27"/>
      <c r="J213" s="27"/>
      <c r="K213" s="27"/>
      <c r="L213" s="30"/>
      <c r="M213" s="30"/>
      <c r="N213" s="30"/>
      <c r="O213" s="30"/>
    </row>
    <row r="214" spans="2:15" s="9" customFormat="1" ht="17.25" customHeight="1" thickBot="1">
      <c r="B214" s="26"/>
      <c r="C214" s="26"/>
      <c r="D214" s="26"/>
      <c r="E214" s="26"/>
      <c r="F214" s="26"/>
      <c r="G214" s="26"/>
      <c r="H214" s="27"/>
      <c r="I214" s="27"/>
      <c r="J214" s="27"/>
      <c r="K214" s="30"/>
      <c r="L214" s="30"/>
      <c r="M214" s="30"/>
      <c r="N214" s="30"/>
      <c r="O214" s="30"/>
    </row>
    <row r="215" spans="2:15" s="9" customFormat="1" ht="15.75" customHeight="1" thickBot="1">
      <c r="B215" s="1682" t="s">
        <v>1154</v>
      </c>
      <c r="C215" s="1860"/>
      <c r="D215" s="1860"/>
      <c r="E215" s="1860"/>
      <c r="F215" s="1860"/>
      <c r="G215" s="1860"/>
      <c r="H215" s="1683"/>
      <c r="I215" s="27"/>
      <c r="J215" s="27"/>
      <c r="K215" s="30"/>
      <c r="L215" s="30"/>
      <c r="M215" s="30"/>
      <c r="N215" s="30"/>
      <c r="O215" s="30"/>
    </row>
    <row r="216" spans="2:15" s="9" customFormat="1" ht="30.75" customHeight="1">
      <c r="B216" s="1464" t="s">
        <v>1155</v>
      </c>
      <c r="C216" s="54" t="s">
        <v>1156</v>
      </c>
      <c r="D216" s="54" t="s">
        <v>1152</v>
      </c>
      <c r="E216" s="54" t="s">
        <v>1157</v>
      </c>
      <c r="F216" s="130" t="s">
        <v>1158</v>
      </c>
      <c r="G216" s="130" t="s">
        <v>1159</v>
      </c>
      <c r="H216" s="55" t="s">
        <v>1160</v>
      </c>
      <c r="I216" s="27"/>
      <c r="J216" s="30"/>
      <c r="K216" s="30"/>
      <c r="L216" s="30"/>
      <c r="M216" s="30"/>
      <c r="N216" s="30"/>
      <c r="O216" s="30"/>
    </row>
    <row r="217" spans="2:15" s="9" customFormat="1" ht="14.45">
      <c r="B217" s="121" t="s">
        <v>397</v>
      </c>
      <c r="C217" s="122">
        <f>D15</f>
        <v>0</v>
      </c>
      <c r="D217" s="131">
        <f>$F$212</f>
        <v>5.1644478842024062E-2</v>
      </c>
      <c r="E217" s="341">
        <f>D217*C217</f>
        <v>0</v>
      </c>
      <c r="F217" s="628" t="e">
        <f>E217*'Emission Factors'!G119</f>
        <v>#DIV/0!</v>
      </c>
      <c r="G217" s="629" t="e">
        <f>E217*'Emission Factors'!H120</f>
        <v>#DIV/0!</v>
      </c>
      <c r="H217" s="630" t="e">
        <f>E217*'Emission Factors'!I120</f>
        <v>#DIV/0!</v>
      </c>
      <c r="I217" s="27"/>
      <c r="J217" s="27"/>
      <c r="K217" s="30"/>
      <c r="L217" s="30"/>
      <c r="M217" s="30"/>
      <c r="N217" s="30"/>
      <c r="O217" s="30"/>
    </row>
    <row r="218" spans="2:15" s="9" customFormat="1" ht="14.45">
      <c r="B218" s="123" t="s">
        <v>1161</v>
      </c>
      <c r="C218" s="124">
        <f>D20</f>
        <v>0</v>
      </c>
      <c r="D218" s="132">
        <f>$F$212</f>
        <v>5.1644478842024062E-2</v>
      </c>
      <c r="E218" s="260">
        <f>D218*C218</f>
        <v>0</v>
      </c>
      <c r="F218" s="626" t="e">
        <f>E218*'Emission Factors'!G120</f>
        <v>#DIV/0!</v>
      </c>
      <c r="G218" s="627" t="e">
        <f>E218*'Emission Factors'!H120</f>
        <v>#DIV/0!</v>
      </c>
      <c r="H218" s="631" t="e">
        <f>E218*'Emission Factors'!I120</f>
        <v>#DIV/0!</v>
      </c>
      <c r="I218" s="27"/>
      <c r="J218" s="27"/>
      <c r="K218" s="30"/>
      <c r="L218" s="30"/>
      <c r="M218" s="30"/>
      <c r="N218" s="30"/>
      <c r="O218" s="30"/>
    </row>
    <row r="219" spans="2:15" s="9" customFormat="1" ht="15" thickBot="1">
      <c r="B219" s="558" t="s">
        <v>1027</v>
      </c>
      <c r="C219" s="1412">
        <f>SUM(C217:C218)</f>
        <v>0</v>
      </c>
      <c r="D219" s="1417">
        <f>$F$212</f>
        <v>5.1644478842024062E-2</v>
      </c>
      <c r="E219" s="1390">
        <f>D219*C219</f>
        <v>0</v>
      </c>
      <c r="F219" s="1307" t="e">
        <f>SUM(F217:F218)</f>
        <v>#DIV/0!</v>
      </c>
      <c r="G219" s="1307" t="e">
        <f>SUM(G217:G218)</f>
        <v>#DIV/0!</v>
      </c>
      <c r="H219" s="1395" t="e">
        <f>SUM(H217:H218)</f>
        <v>#DIV/0!</v>
      </c>
      <c r="I219" s="27"/>
      <c r="J219" s="27"/>
      <c r="K219" s="30"/>
      <c r="L219" s="30"/>
      <c r="M219" s="30"/>
      <c r="N219" s="30"/>
      <c r="O219" s="30"/>
    </row>
    <row r="220" spans="2:15" s="9" customFormat="1" ht="15" thickBot="1">
      <c r="B220" s="30"/>
      <c r="C220" s="30"/>
      <c r="D220" s="30"/>
      <c r="E220" s="30"/>
      <c r="F220" s="30"/>
      <c r="G220" s="30"/>
      <c r="H220" s="27"/>
      <c r="I220" s="30"/>
      <c r="J220" s="30"/>
      <c r="K220" s="30"/>
      <c r="L220" s="30"/>
      <c r="M220" s="30"/>
      <c r="N220" s="30"/>
      <c r="O220" s="30"/>
    </row>
    <row r="221" spans="2:15" s="9" customFormat="1" ht="14.25" customHeight="1" thickBot="1">
      <c r="B221" s="1890" t="s">
        <v>1162</v>
      </c>
      <c r="C221" s="1946"/>
      <c r="D221" s="1946"/>
      <c r="E221" s="1946"/>
      <c r="F221" s="1946"/>
      <c r="G221" s="1947"/>
      <c r="H221" s="30"/>
      <c r="I221" s="30"/>
      <c r="J221" s="30"/>
      <c r="K221" s="30"/>
      <c r="L221" s="30"/>
      <c r="M221" s="30"/>
      <c r="N221" s="30"/>
      <c r="O221" s="30"/>
    </row>
    <row r="222" spans="2:15" s="9" customFormat="1" ht="56.25" customHeight="1" thickBot="1">
      <c r="B222" s="205" t="s">
        <v>1155</v>
      </c>
      <c r="C222" s="79" t="s">
        <v>1003</v>
      </c>
      <c r="D222" s="79" t="s">
        <v>1163</v>
      </c>
      <c r="E222" s="79" t="s">
        <v>1164</v>
      </c>
      <c r="F222" s="218" t="s">
        <v>1165</v>
      </c>
      <c r="G222" s="80" t="s">
        <v>1166</v>
      </c>
      <c r="H222" s="1301"/>
      <c r="I222" s="30"/>
      <c r="J222" s="30"/>
      <c r="K222" s="30"/>
      <c r="L222" s="30"/>
      <c r="M222" s="30"/>
      <c r="N222" s="30"/>
      <c r="O222" s="30"/>
    </row>
    <row r="223" spans="2:15" s="9" customFormat="1">
      <c r="B223" s="203" t="s">
        <v>397</v>
      </c>
      <c r="C223" s="204">
        <f>E15</f>
        <v>0</v>
      </c>
      <c r="D223" s="908">
        <v>2.5000000000000001E-2</v>
      </c>
      <c r="E223" s="102">
        <f>(C223/(1-D223)-C223)</f>
        <v>0</v>
      </c>
      <c r="F223" s="632">
        <f>E223*'Emission Factors'!$C$25</f>
        <v>0</v>
      </c>
      <c r="G223" s="633">
        <f>E223*'Emission Factors'!$C$26</f>
        <v>0</v>
      </c>
      <c r="H223" s="1301"/>
      <c r="I223" s="30"/>
      <c r="J223" s="30"/>
      <c r="K223" s="30"/>
      <c r="L223" s="30"/>
      <c r="M223" s="30"/>
      <c r="N223" s="30"/>
      <c r="O223" s="30"/>
    </row>
    <row r="224" spans="2:15" s="9" customFormat="1">
      <c r="B224" s="460" t="s">
        <v>1161</v>
      </c>
      <c r="C224" s="72">
        <f>E20</f>
        <v>0</v>
      </c>
      <c r="D224" s="909">
        <v>2.5000000000000001E-2</v>
      </c>
      <c r="E224" s="104">
        <f>(C224/(1-D224)-C224)</f>
        <v>0</v>
      </c>
      <c r="F224" s="632">
        <f>E224*'Emission Factors'!$C$25</f>
        <v>0</v>
      </c>
      <c r="G224" s="634">
        <f>E224*'Emission Factors'!$C$26</f>
        <v>0</v>
      </c>
      <c r="H224" s="1301"/>
      <c r="I224" s="30"/>
      <c r="J224" s="30"/>
      <c r="K224" s="30"/>
      <c r="L224" s="30"/>
      <c r="M224" s="30"/>
      <c r="N224" s="30"/>
      <c r="O224" s="30"/>
    </row>
    <row r="225" spans="2:11" s="9" customFormat="1" ht="13.9" thickBot="1">
      <c r="B225" s="557" t="s">
        <v>1027</v>
      </c>
      <c r="C225" s="1412">
        <f>SUM(C223:C224)</f>
        <v>0</v>
      </c>
      <c r="D225" s="1418">
        <v>2.5000000000000001E-2</v>
      </c>
      <c r="E225" s="1390">
        <f>(C225/(1-D225)-C225)</f>
        <v>0</v>
      </c>
      <c r="F225" s="1027">
        <f>E225*'Emission Factors'!$C$25</f>
        <v>0</v>
      </c>
      <c r="G225" s="1395">
        <f>E225*'Emission Factors'!$C$26</f>
        <v>0</v>
      </c>
      <c r="H225" s="30"/>
      <c r="I225" s="30"/>
      <c r="J225" s="30"/>
      <c r="K225" s="30"/>
    </row>
    <row r="226" spans="2:11" s="9" customFormat="1" ht="34.5" customHeight="1" thickBot="1">
      <c r="B226" s="1678" t="s">
        <v>1167</v>
      </c>
      <c r="C226" s="1751"/>
      <c r="D226" s="1751"/>
      <c r="E226" s="1679"/>
      <c r="F226" s="435" t="s">
        <v>1168</v>
      </c>
      <c r="G226" s="17"/>
      <c r="H226" s="1301"/>
      <c r="I226" s="1308"/>
      <c r="J226" s="30"/>
      <c r="K226" s="30"/>
    </row>
    <row r="227" spans="2:11" s="9" customFormat="1" ht="13.9" thickBot="1">
      <c r="B227" s="30"/>
      <c r="C227" s="30"/>
      <c r="D227" s="30"/>
      <c r="E227" s="30"/>
      <c r="F227" s="30"/>
      <c r="G227" s="30"/>
      <c r="H227" s="30"/>
      <c r="I227" s="30"/>
      <c r="J227" s="30"/>
      <c r="K227" s="30"/>
    </row>
    <row r="228" spans="2:11" s="9" customFormat="1" ht="15.75" customHeight="1" thickBot="1">
      <c r="B228" s="1890" t="s">
        <v>1169</v>
      </c>
      <c r="C228" s="1946"/>
      <c r="D228" s="1946"/>
      <c r="E228" s="1946"/>
      <c r="F228" s="1946"/>
      <c r="G228" s="1947"/>
      <c r="H228" s="30"/>
      <c r="I228" s="30"/>
      <c r="J228" s="30"/>
      <c r="K228" s="30"/>
    </row>
    <row r="229" spans="2:11" s="9" customFormat="1" ht="102.75" customHeight="1" thickBot="1">
      <c r="B229" s="77" t="s">
        <v>1170</v>
      </c>
      <c r="C229" s="78" t="s">
        <v>1171</v>
      </c>
      <c r="D229" s="79" t="s">
        <v>1172</v>
      </c>
      <c r="E229" s="79" t="s">
        <v>1173</v>
      </c>
      <c r="F229" s="218" t="s">
        <v>1174</v>
      </c>
      <c r="G229" s="80" t="s">
        <v>1175</v>
      </c>
      <c r="H229" s="30"/>
      <c r="I229" s="30"/>
      <c r="J229" s="30"/>
      <c r="K229" s="30"/>
    </row>
    <row r="230" spans="2:11" s="9" customFormat="1">
      <c r="B230" s="203" t="s">
        <v>122</v>
      </c>
      <c r="C230" s="204">
        <f>'Transportation - On Road'!F52</f>
        <v>0</v>
      </c>
      <c r="D230" s="910">
        <v>0.8</v>
      </c>
      <c r="E230" s="392">
        <f>1-D230</f>
        <v>0.19999999999999996</v>
      </c>
      <c r="F230" s="632">
        <f>C230*D230</f>
        <v>0</v>
      </c>
      <c r="G230" s="635">
        <f>C230*E230</f>
        <v>0</v>
      </c>
      <c r="H230" s="30"/>
      <c r="I230" s="30"/>
      <c r="J230" s="30"/>
      <c r="K230" s="30"/>
    </row>
    <row r="231" spans="2:11" s="9" customFormat="1">
      <c r="B231" s="206" t="s">
        <v>134</v>
      </c>
      <c r="C231" s="207">
        <f>'Transportation - On Road'!F66</f>
        <v>0</v>
      </c>
      <c r="D231" s="911">
        <v>0</v>
      </c>
      <c r="E231" s="393">
        <f>1-D231</f>
        <v>1</v>
      </c>
      <c r="F231" s="219">
        <f>C231*D231</f>
        <v>0</v>
      </c>
      <c r="G231" s="636">
        <f>C231*E231</f>
        <v>0</v>
      </c>
      <c r="H231" s="30"/>
      <c r="I231" s="30"/>
      <c r="J231" s="30"/>
      <c r="K231" s="30"/>
    </row>
    <row r="232" spans="2:11" s="9" customFormat="1" ht="13.9" thickBot="1">
      <c r="B232" s="98" t="s">
        <v>1176</v>
      </c>
      <c r="C232" s="1404">
        <f>SUM(C230:C231)</f>
        <v>0</v>
      </c>
      <c r="D232" s="1419"/>
      <c r="E232" s="1419"/>
      <c r="F232" s="1404">
        <f>SUM(F230:F231)</f>
        <v>0</v>
      </c>
      <c r="G232" s="1420">
        <f>SUM(G230:G231)</f>
        <v>0</v>
      </c>
      <c r="H232" s="30"/>
      <c r="I232" s="30"/>
      <c r="J232" s="30"/>
      <c r="K232" s="30"/>
    </row>
    <row r="233" spans="2:11" s="9" customFormat="1" ht="42" customHeight="1" thickBot="1">
      <c r="B233" s="1678" t="s">
        <v>1177</v>
      </c>
      <c r="C233" s="1751"/>
      <c r="D233" s="1751"/>
      <c r="E233" s="1679"/>
      <c r="F233" s="461" t="s">
        <v>1178</v>
      </c>
      <c r="G233" s="17"/>
      <c r="H233" s="30"/>
      <c r="I233" s="30"/>
      <c r="J233" s="30"/>
      <c r="K233" s="30"/>
    </row>
    <row r="234" spans="2:11" s="9" customFormat="1" ht="27.75" customHeight="1">
      <c r="B234" s="30"/>
      <c r="C234" s="30"/>
      <c r="D234" s="30"/>
      <c r="E234" s="30"/>
      <c r="F234" s="30"/>
      <c r="G234" s="30"/>
      <c r="H234" s="30"/>
      <c r="I234" s="30"/>
      <c r="J234" s="30"/>
      <c r="K234" s="30"/>
    </row>
    <row r="235" spans="2:11" s="9" customFormat="1">
      <c r="B235" s="30"/>
      <c r="C235" s="30"/>
      <c r="D235" s="30"/>
      <c r="E235" s="30"/>
      <c r="F235" s="30"/>
      <c r="G235" s="30"/>
      <c r="H235" s="30"/>
      <c r="I235" s="30"/>
      <c r="J235" s="30"/>
      <c r="K235" s="30"/>
    </row>
    <row r="236" spans="2:11" s="9" customFormat="1">
      <c r="B236" s="30"/>
      <c r="C236" s="30"/>
      <c r="D236" s="30"/>
      <c r="E236" s="30"/>
      <c r="F236" s="30"/>
      <c r="G236" s="30"/>
      <c r="H236" s="30"/>
      <c r="I236" s="30"/>
      <c r="J236" s="30"/>
      <c r="K236" s="30"/>
    </row>
    <row r="237" spans="2:11" s="9" customFormat="1">
      <c r="B237" s="30"/>
      <c r="C237" s="30"/>
      <c r="D237" s="30"/>
      <c r="E237" s="30"/>
      <c r="F237" s="30"/>
      <c r="G237" s="30"/>
      <c r="H237" s="30"/>
      <c r="I237" s="30"/>
      <c r="J237" s="30"/>
      <c r="K237" s="30"/>
    </row>
    <row r="238" spans="2:11" s="9" customFormat="1">
      <c r="B238" s="30"/>
      <c r="C238" s="30"/>
      <c r="D238" s="30"/>
      <c r="E238" s="30"/>
      <c r="F238" s="30"/>
      <c r="G238" s="30"/>
      <c r="H238" s="30"/>
      <c r="I238" s="30"/>
      <c r="J238" s="30"/>
      <c r="K238" s="30"/>
    </row>
    <row r="239" spans="2:11" s="9" customFormat="1">
      <c r="B239" s="30"/>
      <c r="C239" s="30"/>
      <c r="D239" s="30"/>
      <c r="E239" s="30"/>
      <c r="F239" s="30"/>
      <c r="G239" s="30"/>
      <c r="H239" s="30"/>
      <c r="I239" s="30"/>
      <c r="J239" s="30"/>
      <c r="K239" s="30"/>
    </row>
    <row r="240" spans="2:11" s="9" customFormat="1">
      <c r="B240" s="30"/>
      <c r="C240" s="30"/>
      <c r="D240" s="30"/>
      <c r="E240" s="30"/>
      <c r="F240" s="30"/>
      <c r="G240" s="30"/>
      <c r="H240" s="30"/>
      <c r="I240" s="30"/>
      <c r="J240" s="30"/>
      <c r="K240" s="30"/>
    </row>
    <row r="241" spans="2:9" s="9" customFormat="1">
      <c r="B241" s="30"/>
      <c r="C241" s="30"/>
      <c r="D241" s="30"/>
      <c r="E241" s="30"/>
      <c r="F241" s="30"/>
      <c r="G241" s="30"/>
      <c r="H241" s="30"/>
      <c r="I241" s="30"/>
    </row>
    <row r="242" spans="2:9" s="9" customFormat="1">
      <c r="B242" s="30"/>
      <c r="C242" s="30"/>
      <c r="D242" s="30"/>
      <c r="E242" s="30"/>
      <c r="F242" s="30"/>
      <c r="G242" s="30"/>
      <c r="H242" s="30"/>
      <c r="I242" s="30"/>
    </row>
    <row r="243" spans="2:9" s="9" customFormat="1">
      <c r="B243" s="30"/>
      <c r="C243" s="30"/>
      <c r="D243" s="30"/>
      <c r="E243" s="30"/>
      <c r="F243" s="30"/>
      <c r="G243" s="30"/>
      <c r="H243" s="30"/>
      <c r="I243" s="30"/>
    </row>
    <row r="244" spans="2:9" s="9" customFormat="1">
      <c r="B244" s="30"/>
      <c r="C244" s="30"/>
      <c r="D244" s="30"/>
      <c r="E244" s="30"/>
      <c r="F244" s="30"/>
      <c r="G244" s="30"/>
      <c r="H244" s="30"/>
      <c r="I244" s="30"/>
    </row>
    <row r="245" spans="2:9" s="9" customFormat="1">
      <c r="B245" s="30"/>
      <c r="C245" s="30"/>
      <c r="D245" s="30"/>
      <c r="E245" s="30"/>
      <c r="F245" s="30"/>
      <c r="G245" s="30"/>
      <c r="H245" s="30"/>
      <c r="I245" s="30"/>
    </row>
    <row r="246" spans="2:9" s="9" customFormat="1">
      <c r="B246" s="30"/>
      <c r="C246" s="30"/>
      <c r="D246" s="30"/>
      <c r="E246" s="30"/>
      <c r="F246" s="30"/>
      <c r="G246" s="30"/>
      <c r="H246" s="30"/>
      <c r="I246" s="30"/>
    </row>
    <row r="247" spans="2:9" s="9" customFormat="1">
      <c r="B247" s="30"/>
      <c r="C247" s="30"/>
      <c r="D247" s="30"/>
      <c r="E247" s="30"/>
      <c r="F247" s="30"/>
      <c r="G247" s="30"/>
      <c r="H247" s="30"/>
      <c r="I247" s="30"/>
    </row>
    <row r="248" spans="2:9" s="9" customFormat="1">
      <c r="B248" s="30"/>
      <c r="C248" s="30"/>
      <c r="D248" s="30"/>
      <c r="E248" s="30"/>
      <c r="F248" s="30"/>
      <c r="G248" s="30"/>
      <c r="H248" s="30"/>
      <c r="I248" s="30"/>
    </row>
    <row r="249" spans="2:9" s="9" customFormat="1">
      <c r="B249" s="30"/>
      <c r="C249" s="30"/>
      <c r="D249" s="30"/>
      <c r="E249" s="30"/>
      <c r="F249" s="30"/>
      <c r="G249" s="30"/>
      <c r="H249" s="30"/>
      <c r="I249" s="30"/>
    </row>
    <row r="250" spans="2:9" s="9" customFormat="1">
      <c r="B250" s="30"/>
      <c r="C250" s="30"/>
      <c r="D250" s="30"/>
      <c r="E250" s="30"/>
      <c r="F250" s="30"/>
      <c r="G250" s="30"/>
      <c r="H250" s="30"/>
      <c r="I250" s="30"/>
    </row>
    <row r="251" spans="2:9" s="9" customFormat="1">
      <c r="B251" s="30"/>
      <c r="C251" s="30"/>
      <c r="D251" s="30"/>
      <c r="E251" s="30"/>
      <c r="F251" s="30"/>
      <c r="G251" s="30"/>
      <c r="H251" s="30"/>
      <c r="I251" s="30"/>
    </row>
    <row r="252" spans="2:9" s="9" customFormat="1">
      <c r="B252" s="30"/>
      <c r="C252" s="30"/>
      <c r="D252" s="30"/>
      <c r="E252" s="30"/>
      <c r="F252" s="30"/>
      <c r="G252" s="30"/>
      <c r="H252" s="30"/>
      <c r="I252" s="30"/>
    </row>
    <row r="253" spans="2:9" s="9" customFormat="1">
      <c r="B253" s="30"/>
      <c r="C253" s="30"/>
      <c r="D253" s="30"/>
      <c r="E253" s="30"/>
      <c r="F253" s="30"/>
      <c r="G253" s="30"/>
      <c r="H253" s="30"/>
      <c r="I253" s="30"/>
    </row>
    <row r="254" spans="2:9" s="9" customFormat="1">
      <c r="B254" s="30"/>
      <c r="C254" s="30"/>
      <c r="D254" s="30"/>
      <c r="E254" s="30"/>
      <c r="F254" s="30"/>
      <c r="G254" s="30"/>
      <c r="H254" s="30"/>
      <c r="I254" s="30"/>
    </row>
    <row r="255" spans="2:9" s="9" customFormat="1">
      <c r="B255" s="30"/>
      <c r="C255" s="30"/>
      <c r="D255" s="30"/>
      <c r="E255" s="30"/>
      <c r="F255" s="30"/>
      <c r="G255" s="30"/>
      <c r="H255" s="30"/>
      <c r="I255" s="30"/>
    </row>
    <row r="256" spans="2:9" s="9" customFormat="1">
      <c r="B256" s="30"/>
      <c r="C256" s="30"/>
      <c r="D256" s="30"/>
      <c r="E256" s="30"/>
      <c r="F256" s="30"/>
      <c r="G256" s="30"/>
      <c r="H256" s="30"/>
      <c r="I256" s="30"/>
    </row>
    <row r="257" spans="7:7" s="9" customFormat="1">
      <c r="G257" s="30"/>
    </row>
    <row r="258" spans="7:7" s="9" customFormat="1">
      <c r="G258" s="30"/>
    </row>
    <row r="259" spans="7:7" s="9" customFormat="1">
      <c r="G259" s="30"/>
    </row>
    <row r="260" spans="7:7" s="9" customFormat="1">
      <c r="G260" s="30"/>
    </row>
    <row r="261" spans="7:7" s="9" customFormat="1">
      <c r="G261" s="30"/>
    </row>
    <row r="262" spans="7:7" s="9" customFormat="1">
      <c r="G262" s="30"/>
    </row>
    <row r="263" spans="7:7" s="9" customFormat="1">
      <c r="G263" s="30"/>
    </row>
    <row r="264" spans="7:7" s="9" customFormat="1">
      <c r="G264" s="30"/>
    </row>
    <row r="265" spans="7:7" s="9" customFormat="1">
      <c r="G265" s="30"/>
    </row>
    <row r="266" spans="7:7" s="9" customFormat="1">
      <c r="G266" s="30"/>
    </row>
    <row r="267" spans="7:7" s="9" customFormat="1">
      <c r="G267" s="30"/>
    </row>
    <row r="268" spans="7:7" s="9" customFormat="1">
      <c r="G268" s="30"/>
    </row>
    <row r="269" spans="7:7" s="9" customFormat="1">
      <c r="G269" s="30"/>
    </row>
    <row r="270" spans="7:7" s="9" customFormat="1">
      <c r="G270" s="30"/>
    </row>
    <row r="271" spans="7:7" s="9" customFormat="1">
      <c r="G271" s="30"/>
    </row>
    <row r="272" spans="7:7" s="9" customFormat="1">
      <c r="G272" s="30"/>
    </row>
    <row r="273" spans="7:7" s="9" customFormat="1">
      <c r="G273" s="30"/>
    </row>
    <row r="274" spans="7:7" s="9" customFormat="1">
      <c r="G274" s="30"/>
    </row>
    <row r="275" spans="7:7" s="9" customFormat="1">
      <c r="G275" s="30"/>
    </row>
    <row r="276" spans="7:7" s="9" customFormat="1">
      <c r="G276" s="30"/>
    </row>
    <row r="277" spans="7:7" s="9" customFormat="1">
      <c r="G277" s="30"/>
    </row>
    <row r="278" spans="7:7" s="9" customFormat="1">
      <c r="G278" s="30"/>
    </row>
    <row r="279" spans="7:7" s="9" customFormat="1">
      <c r="G279" s="30"/>
    </row>
    <row r="280" spans="7:7" s="9" customFormat="1">
      <c r="G280" s="30"/>
    </row>
    <row r="281" spans="7:7" s="9" customFormat="1">
      <c r="G281" s="30"/>
    </row>
    <row r="282" spans="7:7" s="9" customFormat="1">
      <c r="G282" s="30"/>
    </row>
    <row r="283" spans="7:7" s="9" customFormat="1">
      <c r="G283" s="30"/>
    </row>
    <row r="284" spans="7:7" s="9" customFormat="1">
      <c r="G284" s="30"/>
    </row>
    <row r="285" spans="7:7" s="9" customFormat="1">
      <c r="G285" s="30"/>
    </row>
    <row r="286" spans="7:7" s="9" customFormat="1">
      <c r="G286" s="30"/>
    </row>
    <row r="287" spans="7:7" s="9" customFormat="1">
      <c r="G287" s="30"/>
    </row>
    <row r="288" spans="7:7" s="9" customFormat="1">
      <c r="G288" s="30"/>
    </row>
    <row r="289" spans="7:7" s="9" customFormat="1">
      <c r="G289" s="30"/>
    </row>
    <row r="290" spans="7:7" s="9" customFormat="1">
      <c r="G290" s="30"/>
    </row>
    <row r="291" spans="7:7" s="9" customFormat="1">
      <c r="G291" s="30"/>
    </row>
    <row r="292" spans="7:7" s="9" customFormat="1">
      <c r="G292" s="30"/>
    </row>
    <row r="293" spans="7:7" s="9" customFormat="1">
      <c r="G293" s="30"/>
    </row>
    <row r="294" spans="7:7" s="9" customFormat="1">
      <c r="G294" s="30"/>
    </row>
    <row r="295" spans="7:7" s="9" customFormat="1">
      <c r="G295" s="30"/>
    </row>
    <row r="296" spans="7:7" s="9" customFormat="1">
      <c r="G296" s="30"/>
    </row>
    <row r="297" spans="7:7" s="9" customFormat="1">
      <c r="G297" s="30"/>
    </row>
    <row r="298" spans="7:7" s="9" customFormat="1">
      <c r="G298" s="30"/>
    </row>
    <row r="299" spans="7:7" s="9" customFormat="1">
      <c r="G299" s="30"/>
    </row>
    <row r="300" spans="7:7" s="9" customFormat="1">
      <c r="G300" s="30"/>
    </row>
    <row r="301" spans="7:7" s="9" customFormat="1">
      <c r="G301" s="30"/>
    </row>
    <row r="302" spans="7:7" s="9" customFormat="1">
      <c r="G302" s="30"/>
    </row>
    <row r="303" spans="7:7" s="9" customFormat="1">
      <c r="G303" s="30"/>
    </row>
    <row r="304" spans="7:7" s="9" customFormat="1">
      <c r="G304" s="30"/>
    </row>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ht="65.25" customHeight="1"/>
    <row r="338" s="9" customFormat="1" ht="66.75" customHeight="1"/>
    <row r="339" s="9" customFormat="1"/>
    <row r="340" s="9" customFormat="1"/>
    <row r="341" s="9" customFormat="1"/>
    <row r="342" s="9" customFormat="1"/>
    <row r="343" s="9" customFormat="1"/>
    <row r="344" s="9" customFormat="1"/>
    <row r="345" s="9" customFormat="1"/>
    <row r="346" s="9" customFormat="1"/>
    <row r="347" s="9" customFormat="1"/>
    <row r="348" s="9" customFormat="1"/>
    <row r="349" s="9" customFormat="1"/>
    <row r="350" s="9" customFormat="1"/>
    <row r="351" s="9" customFormat="1"/>
    <row r="352" s="9" customFormat="1"/>
    <row r="353" s="9" customFormat="1"/>
    <row r="354" s="9" customFormat="1"/>
    <row r="355" s="9" customFormat="1"/>
    <row r="356" s="9" customFormat="1"/>
    <row r="357" s="9" customFormat="1"/>
    <row r="358" s="9" customFormat="1"/>
    <row r="359" s="9" customFormat="1"/>
    <row r="360" s="9" customFormat="1"/>
    <row r="361" s="9" customFormat="1"/>
    <row r="362" s="9" customFormat="1"/>
    <row r="363" s="9" customFormat="1"/>
    <row r="364" s="9" customFormat="1"/>
    <row r="365" s="9" customFormat="1"/>
    <row r="366" s="9" customFormat="1"/>
    <row r="367" s="9" customFormat="1"/>
    <row r="368" s="9" customFormat="1"/>
    <row r="369" s="9" customFormat="1"/>
    <row r="370" s="9" customFormat="1"/>
    <row r="371" s="9" customFormat="1"/>
    <row r="372" s="9" customFormat="1"/>
    <row r="373" s="9" customFormat="1"/>
    <row r="374" s="9" customFormat="1"/>
    <row r="375" s="9" customFormat="1"/>
    <row r="376" s="9" customFormat="1"/>
    <row r="377" s="9" customFormat="1"/>
    <row r="378" s="9" customFormat="1"/>
    <row r="379" s="9" customFormat="1"/>
    <row r="380" s="9" customFormat="1"/>
    <row r="381" s="9" customFormat="1"/>
    <row r="382" s="9" customFormat="1"/>
    <row r="383" s="9" customFormat="1"/>
    <row r="384" s="9" customFormat="1"/>
    <row r="385" s="9" customFormat="1"/>
    <row r="386" s="9" customFormat="1"/>
    <row r="387" s="9" customFormat="1"/>
    <row r="388" s="9" customFormat="1"/>
    <row r="389" s="9" customFormat="1"/>
    <row r="390" s="9" customFormat="1"/>
    <row r="391" s="9" customFormat="1"/>
    <row r="392" s="9" customFormat="1"/>
    <row r="393" s="9" customFormat="1"/>
    <row r="394" s="9" customFormat="1"/>
    <row r="395" s="9" customFormat="1"/>
    <row r="396" s="9" customFormat="1"/>
    <row r="397" s="9" customFormat="1"/>
    <row r="398" s="9" customFormat="1"/>
    <row r="399" s="9" customFormat="1"/>
    <row r="400" s="9" customFormat="1"/>
    <row r="401" s="9" customFormat="1"/>
    <row r="402" s="9" customFormat="1"/>
    <row r="403" s="9" customFormat="1"/>
    <row r="404" s="9" customFormat="1"/>
    <row r="405" s="9" customFormat="1"/>
    <row r="406" s="9" customFormat="1"/>
    <row r="407" s="9" customFormat="1"/>
    <row r="408" s="9" customFormat="1"/>
    <row r="409" s="9" customFormat="1"/>
    <row r="410" s="9" customFormat="1"/>
    <row r="411" s="9" customFormat="1"/>
    <row r="412" s="9" customFormat="1"/>
    <row r="413" s="9" customFormat="1"/>
    <row r="414" s="9" customFormat="1"/>
    <row r="415" s="9" customFormat="1"/>
    <row r="416" s="9" customFormat="1"/>
    <row r="417" s="9" customFormat="1"/>
    <row r="418" s="9" customFormat="1"/>
    <row r="419" s="9" customFormat="1"/>
    <row r="420" s="9" customFormat="1"/>
    <row r="421" s="9" customFormat="1"/>
    <row r="422" s="9" customFormat="1"/>
    <row r="423" s="9" customFormat="1"/>
    <row r="424" s="9" customFormat="1"/>
    <row r="425" s="9" customFormat="1"/>
    <row r="426" s="9" customFormat="1"/>
    <row r="427" s="9" customFormat="1"/>
    <row r="428" s="9" customFormat="1"/>
    <row r="429" s="9" customFormat="1"/>
    <row r="430" s="9" customFormat="1"/>
    <row r="431" s="9" customFormat="1"/>
    <row r="432" s="9" customFormat="1"/>
    <row r="433" s="9" customFormat="1"/>
    <row r="434" s="9" customFormat="1"/>
    <row r="435" s="9" customFormat="1"/>
    <row r="436" s="9" customFormat="1"/>
    <row r="437" s="9" customFormat="1"/>
    <row r="438" s="9" customFormat="1"/>
    <row r="439" s="9" customFormat="1"/>
    <row r="440" s="9" customFormat="1"/>
    <row r="441" s="9" customFormat="1"/>
    <row r="442" s="9" customFormat="1"/>
    <row r="443" s="9" customFormat="1"/>
    <row r="444" s="9" customFormat="1"/>
    <row r="445" s="9" customFormat="1"/>
    <row r="446" s="9" customFormat="1"/>
    <row r="447" s="9" customFormat="1"/>
    <row r="448" s="9" customFormat="1"/>
    <row r="449" s="9" customFormat="1"/>
    <row r="450" s="9" customFormat="1"/>
    <row r="451" s="9" customFormat="1"/>
    <row r="452" s="9" customFormat="1"/>
    <row r="453" s="9" customFormat="1"/>
    <row r="454" s="9" customFormat="1"/>
    <row r="455" s="9" customFormat="1"/>
    <row r="456" s="9" customFormat="1"/>
    <row r="457" s="9" customFormat="1"/>
    <row r="458" s="9" customFormat="1"/>
    <row r="459" s="9" customFormat="1"/>
    <row r="460" s="9" customFormat="1"/>
    <row r="461" s="9" customFormat="1"/>
    <row r="462" s="9" customFormat="1"/>
    <row r="463" s="9" customFormat="1"/>
    <row r="464" s="9" customFormat="1"/>
    <row r="465" s="9" customFormat="1"/>
    <row r="466" s="9" customFormat="1"/>
    <row r="467" s="9" customFormat="1"/>
    <row r="468" s="9" customFormat="1"/>
    <row r="469" s="9" customFormat="1"/>
    <row r="470" s="9" customFormat="1"/>
    <row r="471" s="9" customFormat="1"/>
    <row r="472" s="9" customFormat="1"/>
    <row r="473" s="9" customFormat="1"/>
    <row r="474" s="9" customFormat="1"/>
    <row r="475" s="9" customFormat="1"/>
    <row r="476" s="9" customFormat="1"/>
    <row r="477" s="9" customFormat="1"/>
    <row r="478" s="9" customFormat="1"/>
    <row r="479" s="9" customFormat="1"/>
    <row r="480" s="9" customFormat="1"/>
    <row r="481" s="9" customFormat="1"/>
    <row r="482" s="9" customFormat="1"/>
    <row r="483" s="9" customFormat="1"/>
    <row r="484" s="9" customFormat="1"/>
    <row r="485" s="9" customFormat="1"/>
    <row r="486" s="9" customFormat="1"/>
    <row r="487" s="9" customFormat="1"/>
    <row r="488" s="9" customFormat="1"/>
    <row r="489" s="9" customFormat="1"/>
    <row r="490" s="9" customFormat="1"/>
    <row r="491" s="9" customFormat="1"/>
    <row r="492" s="9" customFormat="1"/>
    <row r="493" s="9" customFormat="1"/>
    <row r="494" s="9" customFormat="1"/>
    <row r="495" s="9" customFormat="1"/>
    <row r="496" s="9" customFormat="1"/>
    <row r="497" s="9" customFormat="1"/>
    <row r="498" s="9" customFormat="1"/>
    <row r="499" s="9" customFormat="1"/>
    <row r="500" s="9" customFormat="1"/>
    <row r="501" s="9" customFormat="1"/>
    <row r="502" s="9" customFormat="1"/>
    <row r="503" s="9" customFormat="1"/>
    <row r="504" s="9" customFormat="1"/>
    <row r="505" s="9" customFormat="1"/>
    <row r="506" s="9" customFormat="1"/>
    <row r="507" s="9" customFormat="1"/>
    <row r="508" s="9" customFormat="1"/>
    <row r="509" s="9" customFormat="1"/>
    <row r="510" s="9" customFormat="1"/>
    <row r="511" s="9" customFormat="1"/>
    <row r="512"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row r="559" s="9" customFormat="1"/>
    <row r="560" s="9" customFormat="1"/>
    <row r="561" s="9" customFormat="1"/>
    <row r="562" s="9" customFormat="1"/>
    <row r="563" s="9" customFormat="1"/>
    <row r="564" s="9" customFormat="1"/>
    <row r="565" s="9" customFormat="1"/>
    <row r="566" s="9" customFormat="1"/>
    <row r="567" s="9" customFormat="1"/>
    <row r="568" s="9" customFormat="1"/>
    <row r="569" s="9" customFormat="1"/>
    <row r="570" s="9" customFormat="1"/>
    <row r="571" s="9" customFormat="1"/>
    <row r="572" s="9" customFormat="1"/>
    <row r="573" s="9" customFormat="1"/>
    <row r="574" s="9" customFormat="1"/>
    <row r="575" s="9" customFormat="1"/>
    <row r="576" s="9" customFormat="1"/>
    <row r="577" s="9" customFormat="1"/>
    <row r="578" s="9" customFormat="1"/>
    <row r="579" s="9" customFormat="1"/>
    <row r="580" s="9" customFormat="1"/>
    <row r="581" s="9" customFormat="1"/>
    <row r="582" s="9" customFormat="1"/>
    <row r="583" s="9" customFormat="1"/>
    <row r="584" s="9" customFormat="1"/>
    <row r="585" s="9" customFormat="1"/>
    <row r="586" s="9" customFormat="1"/>
    <row r="587" s="9" customFormat="1"/>
    <row r="588" s="9" customFormat="1"/>
    <row r="589" s="9" customFormat="1"/>
    <row r="590" s="9" customFormat="1"/>
    <row r="591" s="9" customFormat="1"/>
    <row r="592" s="9" customFormat="1"/>
    <row r="593" s="9" customFormat="1"/>
    <row r="594" s="9" customFormat="1"/>
    <row r="595" s="9" customFormat="1"/>
    <row r="596" s="9" customFormat="1"/>
    <row r="597" s="9" customFormat="1"/>
    <row r="598" s="9" customFormat="1"/>
    <row r="599" s="9" customFormat="1"/>
  </sheetData>
  <mergeCells count="37">
    <mergeCell ref="B31:H31"/>
    <mergeCell ref="B25:I25"/>
    <mergeCell ref="B213:E213"/>
    <mergeCell ref="B221:G221"/>
    <mergeCell ref="B52:E52"/>
    <mergeCell ref="B53:E53"/>
    <mergeCell ref="B54:E54"/>
    <mergeCell ref="B208:E208"/>
    <mergeCell ref="B102:E102"/>
    <mergeCell ref="B103:E103"/>
    <mergeCell ref="B104:E104"/>
    <mergeCell ref="B105:E105"/>
    <mergeCell ref="B78:M78"/>
    <mergeCell ref="B33:H33"/>
    <mergeCell ref="B27:B30"/>
    <mergeCell ref="B41:M41"/>
    <mergeCell ref="B21:C21"/>
    <mergeCell ref="B9:I9"/>
    <mergeCell ref="B22:E22"/>
    <mergeCell ref="B23:E23"/>
    <mergeCell ref="B2:E2"/>
    <mergeCell ref="B7:E7"/>
    <mergeCell ref="B6:E6"/>
    <mergeCell ref="B11:B15"/>
    <mergeCell ref="B16:B20"/>
    <mergeCell ref="C3:E3"/>
    <mergeCell ref="C4:E4"/>
    <mergeCell ref="B233:E233"/>
    <mergeCell ref="B228:G228"/>
    <mergeCell ref="B210:F210"/>
    <mergeCell ref="B56:O56"/>
    <mergeCell ref="B107:F107"/>
    <mergeCell ref="B74:E74"/>
    <mergeCell ref="B75:E75"/>
    <mergeCell ref="B76:E76"/>
    <mergeCell ref="B226:E226"/>
    <mergeCell ref="B215:H215"/>
  </mergeCells>
  <phoneticPr fontId="0" type="noConversion"/>
  <hyperlinks>
    <hyperlink ref="F52" r:id="rId1" xr:uid="{00000000-0004-0000-0900-000000000000}"/>
    <hyperlink ref="F53" r:id="rId2" display="ACS B25032 (MAPC Data Common)" xr:uid="{00000000-0004-0000-0900-000002000000}"/>
    <hyperlink ref="F74" r:id="rId3" xr:uid="{00000000-0004-0000-0900-000005000000}"/>
    <hyperlink ref="F75" r:id="rId4" xr:uid="{00000000-0004-0000-0900-000006000000}"/>
    <hyperlink ref="F76" r:id="rId5" xr:uid="{00000000-0004-0000-0900-000007000000}"/>
    <hyperlink ref="F233" r:id="rId6" display="PlugInsights Source" xr:uid="{00000000-0004-0000-0900-000008000000}"/>
    <hyperlink ref="F226" r:id="rId7" xr:uid="{00000000-0004-0000-0900-000009000000}"/>
    <hyperlink ref="F213" r:id="rId8" display="https://www.eia.gov/electricity/state/archive/2021/massachusetts/" xr:uid="{00000000-0004-0000-0900-00000A000000}"/>
    <hyperlink ref="F208" r:id="rId9" xr:uid="{00000000-0004-0000-0900-00000B000000}"/>
    <hyperlink ref="F102" r:id="rId10" xr:uid="{00000000-0004-0000-0900-00000C000000}"/>
    <hyperlink ref="F103" r:id="rId11" xr:uid="{00000000-0004-0000-0900-00000D000000}"/>
    <hyperlink ref="F104" r:id="rId12" xr:uid="{00000000-0004-0000-0900-00000E000000}"/>
    <hyperlink ref="F105" r:id="rId13" xr:uid="{00000000-0004-0000-0900-00000F000000}"/>
    <hyperlink ref="F54" r:id="rId14" xr:uid="{193CAD18-BF89-4831-B038-917146A7DE68}"/>
  </hyperlinks>
  <pageMargins left="0.75" right="0.75" top="1" bottom="1" header="0.5" footer="0.5"/>
  <pageSetup orientation="landscape" r:id="rId15"/>
  <headerFooter alignWithMargins="0"/>
  <ignoredErrors>
    <ignoredError sqref="E17" formula="1"/>
  </ignoredErrors>
  <drawing r:id="rId1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39997558519241921"/>
  </sheetPr>
  <dimension ref="A1:AD65"/>
  <sheetViews>
    <sheetView showGridLines="0" zoomScaleNormal="100" workbookViewId="0"/>
  </sheetViews>
  <sheetFormatPr defaultRowHeight="13.15"/>
  <cols>
    <col min="1" max="1" width="2.7109375" customWidth="1"/>
    <col min="2" max="2" width="30.7109375" bestFit="1" customWidth="1"/>
    <col min="3" max="4" width="15.140625" customWidth="1"/>
    <col min="5" max="6" width="15.140625" style="4" customWidth="1"/>
    <col min="7" max="7" width="17.5703125" style="4" customWidth="1"/>
    <col min="8" max="8" width="15.28515625" style="4" customWidth="1"/>
    <col min="9" max="10" width="17.85546875" style="4" customWidth="1"/>
    <col min="11" max="11" width="18.85546875" style="4" customWidth="1"/>
    <col min="12" max="14" width="17.85546875" style="4" customWidth="1"/>
    <col min="15" max="17" width="10" style="4" bestFit="1" customWidth="1"/>
    <col min="18" max="18" width="9.42578125" style="4" bestFit="1" customWidth="1"/>
    <col min="19" max="19" width="10" style="4" bestFit="1" customWidth="1"/>
    <col min="20" max="20" width="9.42578125" bestFit="1" customWidth="1"/>
    <col min="21" max="21" width="12" bestFit="1" customWidth="1"/>
    <col min="22" max="25" width="9.42578125" bestFit="1" customWidth="1"/>
  </cols>
  <sheetData>
    <row r="1" spans="1:30" s="4" customFormat="1" ht="13.9" thickBot="1">
      <c r="B1" s="1918"/>
      <c r="C1" s="1918"/>
      <c r="D1" s="1918"/>
      <c r="E1" s="1918"/>
      <c r="F1" s="1918"/>
      <c r="G1" s="1918"/>
      <c r="H1" s="1918"/>
      <c r="I1" s="1918"/>
      <c r="J1" s="1918"/>
      <c r="K1" s="1918"/>
      <c r="L1" s="1918"/>
    </row>
    <row r="2" spans="1:30" s="4" customFormat="1" ht="23.45" thickBot="1">
      <c r="B2" s="1988" t="s">
        <v>1179</v>
      </c>
      <c r="C2" s="1989"/>
      <c r="D2" s="1989"/>
      <c r="E2" s="1989"/>
      <c r="F2" s="1989"/>
      <c r="G2" s="1990"/>
      <c r="H2" s="1456"/>
      <c r="I2" s="1456"/>
      <c r="J2" s="1456"/>
      <c r="K2" s="1456"/>
      <c r="L2" s="1456"/>
    </row>
    <row r="3" spans="1:30" s="4" customFormat="1" ht="12.75" customHeight="1">
      <c r="B3" s="135" t="s">
        <v>373</v>
      </c>
      <c r="C3" s="1791" t="s">
        <v>384</v>
      </c>
      <c r="D3" s="1792"/>
      <c r="E3" s="1792"/>
      <c r="F3" s="1792"/>
      <c r="G3" s="1793"/>
      <c r="H3" s="1456"/>
      <c r="I3" s="1456"/>
      <c r="J3" s="1456"/>
      <c r="K3" s="1456"/>
      <c r="L3" s="1456"/>
      <c r="M3" s="30"/>
      <c r="N3" s="30"/>
      <c r="O3" s="30"/>
    </row>
    <row r="4" spans="1:30" s="4" customFormat="1" ht="13.5" customHeight="1" thickBot="1">
      <c r="B4" s="136" t="s">
        <v>998</v>
      </c>
      <c r="C4" s="1991" t="s">
        <v>1180</v>
      </c>
      <c r="D4" s="1992"/>
      <c r="E4" s="1992"/>
      <c r="F4" s="1992"/>
      <c r="G4" s="1993"/>
      <c r="H4" s="1456"/>
      <c r="I4" s="1456"/>
      <c r="J4" s="1456"/>
      <c r="K4" s="1456"/>
      <c r="L4" s="1456"/>
      <c r="M4" s="30"/>
      <c r="N4" s="30"/>
      <c r="O4" s="30"/>
    </row>
    <row r="5" spans="1:30" s="4" customFormat="1" ht="13.9" thickBot="1">
      <c r="B5" s="1456"/>
      <c r="C5" s="1456"/>
      <c r="D5" s="1456"/>
      <c r="E5" s="1456"/>
      <c r="F5" s="1456"/>
      <c r="G5" s="1456"/>
      <c r="H5" s="1456"/>
      <c r="I5" s="1456"/>
      <c r="J5" s="1456"/>
      <c r="K5" s="1456"/>
      <c r="L5" s="1456"/>
      <c r="M5" s="30"/>
      <c r="N5" s="30"/>
      <c r="O5" s="30"/>
    </row>
    <row r="6" spans="1:30" s="4" customFormat="1" ht="15" customHeight="1" thickBot="1">
      <c r="B6" s="1995" t="s">
        <v>377</v>
      </c>
      <c r="C6" s="1996"/>
      <c r="D6" s="1996"/>
      <c r="E6" s="1996"/>
      <c r="F6" s="1996"/>
      <c r="G6" s="1997"/>
      <c r="H6" s="1456"/>
      <c r="I6" s="1456"/>
      <c r="J6" s="1456"/>
      <c r="K6" s="1456"/>
      <c r="L6" s="1456"/>
      <c r="M6" s="30"/>
      <c r="N6" s="30"/>
      <c r="O6" s="30"/>
    </row>
    <row r="7" spans="1:30" s="4" customFormat="1" ht="61.5" customHeight="1" thickBot="1">
      <c r="B7" s="1994" t="s">
        <v>1181</v>
      </c>
      <c r="C7" s="1808"/>
      <c r="D7" s="1808"/>
      <c r="E7" s="1808"/>
      <c r="F7" s="1808"/>
      <c r="G7" s="1809"/>
      <c r="H7" s="1456"/>
      <c r="I7" s="1456"/>
      <c r="J7" s="1456"/>
      <c r="K7" s="1456"/>
      <c r="L7" s="1456"/>
      <c r="M7" s="30"/>
      <c r="N7" s="30"/>
      <c r="O7" s="30"/>
    </row>
    <row r="8" spans="1:30" s="4" customFormat="1" ht="13.9" thickBot="1">
      <c r="A8" s="38"/>
      <c r="B8" s="30"/>
      <c r="C8" s="30"/>
      <c r="D8" s="30"/>
      <c r="E8" s="25"/>
      <c r="F8" s="25"/>
      <c r="G8" s="25"/>
      <c r="H8" s="25"/>
      <c r="I8" s="25"/>
      <c r="J8" s="25"/>
      <c r="K8" s="25"/>
      <c r="L8" s="25"/>
      <c r="M8" s="10"/>
      <c r="N8" s="10"/>
      <c r="O8" s="10"/>
      <c r="P8" s="10"/>
    </row>
    <row r="9" spans="1:30" s="4" customFormat="1" ht="18.75" customHeight="1" thickBot="1">
      <c r="B9" s="1682" t="s">
        <v>1182</v>
      </c>
      <c r="C9" s="1860"/>
      <c r="D9" s="1860"/>
      <c r="E9" s="1860"/>
      <c r="F9" s="1860"/>
      <c r="G9" s="1860"/>
      <c r="H9" s="1860"/>
      <c r="I9" s="1860"/>
      <c r="J9" s="1860"/>
      <c r="K9" s="1860"/>
      <c r="L9" s="1860"/>
      <c r="M9" s="1860"/>
      <c r="N9" s="1860"/>
      <c r="O9" s="1683"/>
      <c r="P9" s="33"/>
    </row>
    <row r="10" spans="1:30" s="4" customFormat="1" ht="25.5" customHeight="1">
      <c r="B10" s="1238"/>
      <c r="C10" s="2005" t="s">
        <v>1183</v>
      </c>
      <c r="D10" s="2006"/>
      <c r="E10" s="2006"/>
      <c r="F10" s="2006"/>
      <c r="G10" s="2006"/>
      <c r="H10" s="2007"/>
      <c r="I10" s="2005" t="s">
        <v>1184</v>
      </c>
      <c r="J10" s="2006"/>
      <c r="K10" s="2006"/>
      <c r="L10" s="2007"/>
      <c r="M10" s="2008" t="s">
        <v>1185</v>
      </c>
      <c r="N10" s="2009"/>
      <c r="O10" s="2010"/>
      <c r="P10" s="10"/>
      <c r="Q10" s="10"/>
      <c r="R10" s="10"/>
    </row>
    <row r="11" spans="1:30" s="4" customFormat="1" ht="57" customHeight="1">
      <c r="B11" s="1464" t="s">
        <v>109</v>
      </c>
      <c r="C11" s="1470" t="s">
        <v>110</v>
      </c>
      <c r="D11" s="290" t="s">
        <v>111</v>
      </c>
      <c r="E11" s="311" t="s">
        <v>1186</v>
      </c>
      <c r="F11" s="311" t="s">
        <v>1187</v>
      </c>
      <c r="G11" s="311" t="s">
        <v>1188</v>
      </c>
      <c r="H11" s="1468" t="s">
        <v>1189</v>
      </c>
      <c r="I11" s="311" t="s">
        <v>1190</v>
      </c>
      <c r="J11" s="311" t="s">
        <v>1191</v>
      </c>
      <c r="K11" s="311" t="s">
        <v>1192</v>
      </c>
      <c r="L11" s="1468" t="s">
        <v>1193</v>
      </c>
      <c r="M11" s="1470" t="s">
        <v>1155</v>
      </c>
      <c r="N11" s="290" t="s">
        <v>1194</v>
      </c>
      <c r="O11" s="1468" t="s">
        <v>1195</v>
      </c>
      <c r="Q11" s="34"/>
      <c r="R11" s="34"/>
      <c r="S11" s="34"/>
      <c r="T11" s="34"/>
      <c r="U11" s="34"/>
      <c r="V11" s="35"/>
      <c r="W11" s="35"/>
      <c r="X11" s="35"/>
      <c r="Y11" s="35"/>
      <c r="Z11" s="35"/>
      <c r="AA11" s="35"/>
      <c r="AB11" s="35"/>
      <c r="AC11" s="35"/>
      <c r="AD11" s="35"/>
    </row>
    <row r="12" spans="1:30" s="4" customFormat="1" ht="26.45">
      <c r="B12" s="1247" t="s">
        <v>1196</v>
      </c>
      <c r="C12" s="1108">
        <f>Inputs!C208</f>
        <v>0</v>
      </c>
      <c r="D12" s="1108">
        <f>Inputs!D208</f>
        <v>0</v>
      </c>
      <c r="E12" s="1235">
        <f>C12*'Emission Factors'!$D$148</f>
        <v>0</v>
      </c>
      <c r="F12" s="1235">
        <f>D12*'Emission Factors'!$D$148</f>
        <v>0</v>
      </c>
      <c r="G12" s="549">
        <f>E12*'Emission Factors'!$D$138</f>
        <v>0</v>
      </c>
      <c r="H12" s="550">
        <f>F12*'Emission Factors'!$D$138</f>
        <v>0</v>
      </c>
      <c r="I12" s="551" t="s">
        <v>1197</v>
      </c>
      <c r="J12" s="1109">
        <f>Inputs!C200</f>
        <v>0</v>
      </c>
      <c r="K12" s="1109">
        <f>Inputs!D200</f>
        <v>0</v>
      </c>
      <c r="L12" s="465">
        <f>IFERROR(K12/J12,0)</f>
        <v>0</v>
      </c>
      <c r="M12" s="466" t="s">
        <v>1198</v>
      </c>
      <c r="N12" s="467">
        <f>H12*L12</f>
        <v>0</v>
      </c>
      <c r="O12" s="468">
        <f>G12*L12</f>
        <v>0</v>
      </c>
      <c r="Q12" s="36"/>
      <c r="R12" s="36"/>
      <c r="S12" s="36"/>
      <c r="T12" s="37"/>
      <c r="U12" s="37"/>
      <c r="V12" s="37"/>
      <c r="W12" s="37"/>
      <c r="X12" s="37"/>
      <c r="Y12" s="37"/>
      <c r="Z12" s="37"/>
      <c r="AA12" s="37"/>
      <c r="AB12" s="37"/>
      <c r="AC12" s="37"/>
      <c r="AD12" s="37"/>
    </row>
    <row r="13" spans="1:30" s="4" customFormat="1" ht="26.45">
      <c r="B13" s="1247" t="s">
        <v>1199</v>
      </c>
      <c r="C13" s="1237">
        <f>Inputs!C209</f>
        <v>0</v>
      </c>
      <c r="D13" s="1236">
        <f>Inputs!D209</f>
        <v>0</v>
      </c>
      <c r="E13" s="1235">
        <f>C13*'Emission Factors'!$D$148</f>
        <v>0</v>
      </c>
      <c r="F13" s="1235">
        <f>D13*'Emission Factors'!$D$148</f>
        <v>0</v>
      </c>
      <c r="G13" s="549">
        <f>E13*'Emission Factors'!$D$138</f>
        <v>0</v>
      </c>
      <c r="H13" s="550">
        <f>F13*'Emission Factors'!$D$138</f>
        <v>0</v>
      </c>
      <c r="I13" s="551" t="s">
        <v>1200</v>
      </c>
      <c r="J13" s="1109">
        <f>Inputs!C201</f>
        <v>0</v>
      </c>
      <c r="K13" s="1109">
        <f>Inputs!D201</f>
        <v>0</v>
      </c>
      <c r="L13" s="465">
        <f>IFERROR(K13/J13,0)</f>
        <v>0</v>
      </c>
      <c r="M13" s="466" t="s">
        <v>1201</v>
      </c>
      <c r="N13" s="469">
        <f>H13*L13</f>
        <v>0</v>
      </c>
      <c r="O13" s="468">
        <f>G13*L13</f>
        <v>0</v>
      </c>
      <c r="Q13" s="36"/>
      <c r="R13" s="36"/>
      <c r="S13" s="36"/>
      <c r="T13" s="37"/>
      <c r="U13" s="37"/>
      <c r="V13" s="37"/>
      <c r="W13" s="37"/>
      <c r="X13" s="37"/>
      <c r="Y13" s="37"/>
      <c r="Z13" s="37"/>
      <c r="AA13" s="37"/>
      <c r="AB13" s="37"/>
      <c r="AC13" s="37"/>
      <c r="AD13" s="37"/>
    </row>
    <row r="14" spans="1:30" s="4" customFormat="1" ht="26.45">
      <c r="B14" s="1247" t="s">
        <v>1202</v>
      </c>
      <c r="C14" s="1108">
        <f>Inputs!C210</f>
        <v>0</v>
      </c>
      <c r="D14" s="1108">
        <f>Inputs!D210</f>
        <v>0</v>
      </c>
      <c r="E14" s="1235">
        <f>C14*'Emission Factors'!$D$148</f>
        <v>0</v>
      </c>
      <c r="F14" s="1235">
        <f>D14*'Emission Factors'!$D$148</f>
        <v>0</v>
      </c>
      <c r="G14" s="549">
        <f>E14*'Emission Factors'!$D$138</f>
        <v>0</v>
      </c>
      <c r="H14" s="550">
        <f>F14*'Emission Factors'!$D$138</f>
        <v>0</v>
      </c>
      <c r="I14" s="552" t="s">
        <v>1203</v>
      </c>
      <c r="J14" s="1110">
        <f>Inputs!C199-Inputs!C200</f>
        <v>0</v>
      </c>
      <c r="K14" s="1111">
        <f>Inputs!D199-Inputs!D200</f>
        <v>0</v>
      </c>
      <c r="L14" s="465">
        <f>IFERROR(K14/J14,0)</f>
        <v>0</v>
      </c>
      <c r="M14" s="345" t="s">
        <v>1201</v>
      </c>
      <c r="N14" s="346">
        <f>H14*L14</f>
        <v>0</v>
      </c>
      <c r="O14" s="470">
        <f>G14*L14</f>
        <v>0</v>
      </c>
      <c r="Q14" s="36"/>
      <c r="R14" s="36"/>
      <c r="S14" s="36"/>
      <c r="T14" s="37"/>
      <c r="U14" s="37"/>
      <c r="V14" s="37"/>
      <c r="W14" s="37"/>
      <c r="X14" s="37"/>
      <c r="Y14" s="37"/>
      <c r="Z14" s="37"/>
      <c r="AA14" s="37"/>
      <c r="AB14" s="37"/>
      <c r="AC14" s="37"/>
      <c r="AD14" s="37"/>
    </row>
    <row r="15" spans="1:30" s="4" customFormat="1" ht="27" thickBot="1">
      <c r="B15" s="1248" t="s">
        <v>1204</v>
      </c>
      <c r="C15" s="1246">
        <f>Inputs!C211</f>
        <v>0</v>
      </c>
      <c r="D15" s="1397">
        <f>Inputs!D211</f>
        <v>0</v>
      </c>
      <c r="E15" s="1235">
        <f>C15*'Emission Factors'!$D$148</f>
        <v>0</v>
      </c>
      <c r="F15" s="1235">
        <f>D15*'Emission Factors'!$D$148</f>
        <v>0</v>
      </c>
      <c r="G15" s="549">
        <f>E15*'Emission Factors'!$D$138</f>
        <v>0</v>
      </c>
      <c r="H15" s="550">
        <f>F15*'Emission Factors'!$D$138</f>
        <v>0</v>
      </c>
      <c r="I15" s="552" t="s">
        <v>1205</v>
      </c>
      <c r="J15" s="1110">
        <f>Inputs!C202</f>
        <v>0</v>
      </c>
      <c r="K15" s="1111">
        <f>Inputs!D202</f>
        <v>0</v>
      </c>
      <c r="L15" s="465">
        <f>IFERROR(K15/J15,0)</f>
        <v>0</v>
      </c>
      <c r="M15" s="1632" t="s">
        <v>115</v>
      </c>
      <c r="N15" s="1633">
        <f>H15*L15</f>
        <v>0</v>
      </c>
      <c r="O15" s="1634">
        <f>G15*L15</f>
        <v>0</v>
      </c>
      <c r="Q15" s="36"/>
      <c r="R15" s="36"/>
      <c r="S15" s="36"/>
      <c r="T15" s="37"/>
      <c r="U15" s="37"/>
      <c r="V15" s="37"/>
      <c r="W15" s="37"/>
      <c r="X15" s="37"/>
      <c r="Y15" s="37"/>
      <c r="Z15" s="37"/>
      <c r="AA15" s="37"/>
      <c r="AB15" s="37"/>
      <c r="AC15" s="37"/>
      <c r="AD15" s="37"/>
    </row>
    <row r="16" spans="1:30" s="4" customFormat="1" ht="12.75" customHeight="1">
      <c r="B16" s="1985" t="s">
        <v>1206</v>
      </c>
      <c r="C16" s="1986"/>
      <c r="D16" s="1986"/>
      <c r="E16" s="1986"/>
      <c r="F16" s="1986"/>
      <c r="G16" s="1986"/>
      <c r="H16" s="1986"/>
      <c r="I16" s="1986"/>
      <c r="J16" s="1986"/>
      <c r="K16" s="1986"/>
      <c r="L16" s="1986"/>
      <c r="M16" s="1987"/>
      <c r="N16" s="1241">
        <f>N12</f>
        <v>0</v>
      </c>
      <c r="O16" s="1239">
        <f>O12</f>
        <v>0</v>
      </c>
      <c r="P16" s="36"/>
      <c r="Q16" s="37"/>
      <c r="R16" s="37"/>
      <c r="S16" s="37"/>
      <c r="T16" s="37"/>
      <c r="U16" s="37"/>
      <c r="V16" s="37"/>
      <c r="W16" s="37"/>
      <c r="X16" s="37"/>
      <c r="Y16" s="37"/>
      <c r="Z16" s="37"/>
      <c r="AA16" s="37"/>
    </row>
    <row r="17" spans="2:27" s="4" customFormat="1" ht="12.75" customHeight="1">
      <c r="B17" s="1998" t="s">
        <v>1207</v>
      </c>
      <c r="C17" s="1894"/>
      <c r="D17" s="1894"/>
      <c r="E17" s="1894"/>
      <c r="F17" s="1894"/>
      <c r="G17" s="1894"/>
      <c r="H17" s="1894"/>
      <c r="I17" s="1894"/>
      <c r="J17" s="1894"/>
      <c r="K17" s="1894"/>
      <c r="L17" s="1894"/>
      <c r="M17" s="1999"/>
      <c r="N17" s="1242">
        <f>SUM(N13:N14)</f>
        <v>0</v>
      </c>
      <c r="O17" s="1240">
        <f>SUM(O13:O14)</f>
        <v>0</v>
      </c>
      <c r="P17" s="36"/>
      <c r="Q17" s="37"/>
      <c r="R17" s="37"/>
      <c r="S17" s="37"/>
      <c r="T17" s="37"/>
      <c r="U17" s="37"/>
      <c r="V17" s="37"/>
      <c r="W17" s="37"/>
      <c r="X17" s="37"/>
      <c r="Y17" s="37"/>
      <c r="Z17" s="37"/>
      <c r="AA17" s="37"/>
    </row>
    <row r="18" spans="2:27" s="4" customFormat="1" ht="13.5" customHeight="1" thickBot="1">
      <c r="B18" s="2000" t="s">
        <v>1208</v>
      </c>
      <c r="C18" s="1897"/>
      <c r="D18" s="1897"/>
      <c r="E18" s="1897"/>
      <c r="F18" s="1897"/>
      <c r="G18" s="1897"/>
      <c r="H18" s="1897"/>
      <c r="I18" s="1897"/>
      <c r="J18" s="1897"/>
      <c r="K18" s="1897"/>
      <c r="L18" s="1897"/>
      <c r="M18" s="2001"/>
      <c r="N18" s="1245">
        <f>N15</f>
        <v>0</v>
      </c>
      <c r="O18" s="1398">
        <f>O15</f>
        <v>0</v>
      </c>
      <c r="P18" s="36"/>
      <c r="Q18" s="37"/>
      <c r="R18" s="37"/>
      <c r="S18" s="37"/>
      <c r="T18" s="37"/>
      <c r="U18" s="37"/>
      <c r="V18" s="37"/>
      <c r="W18" s="37"/>
      <c r="X18" s="37"/>
      <c r="Y18" s="37"/>
      <c r="Z18" s="37"/>
      <c r="AA18" s="37"/>
    </row>
    <row r="19" spans="2:27" s="4" customFormat="1" ht="13.9" thickBot="1">
      <c r="B19" s="2002" t="s">
        <v>1209</v>
      </c>
      <c r="C19" s="2003"/>
      <c r="D19" s="2003"/>
      <c r="E19" s="2003"/>
      <c r="F19" s="2003"/>
      <c r="G19" s="2003"/>
      <c r="H19" s="2003"/>
      <c r="I19" s="2003"/>
      <c r="J19" s="2003"/>
      <c r="K19" s="2003"/>
      <c r="L19" s="2003"/>
      <c r="M19" s="2004"/>
      <c r="N19" s="1243">
        <f>SUM(N16:N18)</f>
        <v>0</v>
      </c>
      <c r="O19" s="1244">
        <f>SUM(O16:O18)</f>
        <v>0</v>
      </c>
    </row>
    <row r="20" spans="2:27" s="4" customFormat="1" ht="40.5" customHeight="1" thickBot="1">
      <c r="B20" s="1899" t="s">
        <v>1210</v>
      </c>
      <c r="C20" s="1900"/>
      <c r="D20" s="1900"/>
      <c r="E20" s="1900"/>
      <c r="F20" s="461" t="s">
        <v>1211</v>
      </c>
      <c r="G20" s="344"/>
      <c r="H20" s="202"/>
      <c r="I20" s="202"/>
      <c r="J20" s="202"/>
      <c r="K20" s="202"/>
      <c r="L20" s="202"/>
      <c r="M20" s="202"/>
      <c r="N20" s="202"/>
      <c r="O20" s="202"/>
      <c r="P20" s="30"/>
    </row>
    <row r="21" spans="2:27" s="4" customFormat="1">
      <c r="B21" s="30"/>
      <c r="C21" s="30"/>
      <c r="D21" s="30"/>
      <c r="E21" s="30"/>
      <c r="F21" s="30"/>
      <c r="G21" s="30"/>
      <c r="H21" s="30"/>
      <c r="I21" s="30"/>
      <c r="J21" s="30"/>
      <c r="K21" s="30"/>
      <c r="L21" s="533"/>
      <c r="M21" s="464"/>
      <c r="N21" s="30"/>
      <c r="O21" s="30"/>
    </row>
    <row r="22" spans="2:27" s="4" customFormat="1"/>
    <row r="23" spans="2:27" s="4" customFormat="1" ht="47.25" customHeight="1"/>
    <row r="24" spans="2:27" s="4" customFormat="1" ht="30" customHeight="1"/>
    <row r="25" spans="2:27" s="4" customFormat="1" ht="30" customHeight="1"/>
    <row r="26" spans="2:27" s="4" customFormat="1" ht="49.5" customHeight="1">
      <c r="I26" s="6"/>
      <c r="J26" s="6"/>
    </row>
    <row r="27" spans="2:27" s="4" customFormat="1" ht="39.75" customHeight="1">
      <c r="I27" s="6"/>
    </row>
    <row r="28" spans="2:27" s="4" customFormat="1">
      <c r="I28" s="6"/>
    </row>
    <row r="29" spans="2:27" s="4" customFormat="1">
      <c r="I29" s="6"/>
    </row>
    <row r="30" spans="2:27" s="4" customFormat="1">
      <c r="I30" s="6"/>
    </row>
    <row r="31" spans="2:27" s="4" customFormat="1">
      <c r="I31" s="6"/>
    </row>
    <row r="32" spans="2:27" s="4" customFormat="1">
      <c r="I32" s="6"/>
    </row>
    <row r="33" spans="2:11" s="4" customFormat="1">
      <c r="I33" s="6"/>
    </row>
    <row r="34" spans="2:11" s="4" customFormat="1">
      <c r="I34" s="6"/>
    </row>
    <row r="35" spans="2:11" s="4" customFormat="1">
      <c r="B35" s="30"/>
      <c r="C35" s="30"/>
      <c r="D35" s="30"/>
      <c r="E35" s="30"/>
      <c r="F35" s="30"/>
      <c r="G35" s="30"/>
      <c r="H35" s="30"/>
      <c r="I35" s="30"/>
      <c r="J35" s="30"/>
      <c r="K35" s="30"/>
    </row>
    <row r="36" spans="2:11" s="4" customFormat="1">
      <c r="B36" s="30"/>
      <c r="C36" s="30"/>
      <c r="D36" s="30"/>
      <c r="E36" s="30"/>
      <c r="F36" s="30"/>
      <c r="G36" s="30"/>
      <c r="H36" s="30"/>
      <c r="I36" s="30"/>
      <c r="J36" s="30"/>
      <c r="K36" s="30"/>
    </row>
    <row r="37" spans="2:11" s="4" customFormat="1">
      <c r="B37" s="30"/>
      <c r="C37" s="30"/>
      <c r="D37" s="30"/>
      <c r="E37" s="30"/>
      <c r="F37" s="30"/>
      <c r="G37" s="30"/>
      <c r="H37" s="30"/>
      <c r="I37" s="30"/>
      <c r="J37" s="30"/>
      <c r="K37" s="30"/>
    </row>
    <row r="38" spans="2:11" s="4" customFormat="1">
      <c r="B38" s="30"/>
      <c r="C38" s="30"/>
      <c r="D38" s="30"/>
      <c r="E38" s="30"/>
      <c r="F38" s="30"/>
      <c r="G38" s="30"/>
      <c r="H38" s="30"/>
      <c r="I38" s="30"/>
      <c r="J38" s="30"/>
      <c r="K38" s="30"/>
    </row>
    <row r="39" spans="2:11" s="4" customFormat="1">
      <c r="B39" s="30"/>
      <c r="C39" s="30"/>
      <c r="D39" s="30"/>
      <c r="E39" s="30"/>
      <c r="F39" s="30"/>
      <c r="G39" s="30"/>
      <c r="H39" s="30"/>
      <c r="I39" s="30"/>
      <c r="J39" s="30"/>
      <c r="K39" s="30"/>
    </row>
    <row r="40" spans="2:11" s="4" customFormat="1"/>
    <row r="41" spans="2:11" s="4" customFormat="1"/>
    <row r="42" spans="2:11" s="4" customFormat="1"/>
    <row r="43" spans="2:11" s="4" customFormat="1"/>
    <row r="44" spans="2:11" s="4" customFormat="1"/>
    <row r="45" spans="2:11" s="4" customFormat="1"/>
    <row r="46" spans="2:11" s="4" customFormat="1"/>
    <row r="47" spans="2:11" s="4" customFormat="1"/>
    <row r="48" spans="2:11" s="4" customFormat="1"/>
    <row r="49" s="4" customFormat="1"/>
    <row r="50" s="4" customFormat="1"/>
    <row r="51" s="4" customFormat="1"/>
    <row r="52" s="4" customFormat="1"/>
    <row r="53" s="4" customFormat="1"/>
    <row r="54" s="4" customFormat="1"/>
    <row r="55" s="4" customFormat="1"/>
    <row r="56" s="4" customFormat="1"/>
    <row r="57" s="4" customFormat="1"/>
    <row r="58" s="4" customFormat="1"/>
    <row r="59" s="4" customFormat="1"/>
    <row r="60" s="4" customFormat="1"/>
    <row r="61" s="4" customFormat="1"/>
    <row r="62" s="4" customFormat="1"/>
    <row r="63" s="4" customFormat="1"/>
    <row r="64" s="4" customFormat="1"/>
    <row r="65" s="4" customFormat="1"/>
  </sheetData>
  <mergeCells count="15">
    <mergeCell ref="B9:O9"/>
    <mergeCell ref="B16:M16"/>
    <mergeCell ref="B20:E20"/>
    <mergeCell ref="B1:L1"/>
    <mergeCell ref="B2:G2"/>
    <mergeCell ref="C3:G3"/>
    <mergeCell ref="C4:G4"/>
    <mergeCell ref="B7:G7"/>
    <mergeCell ref="B6:G6"/>
    <mergeCell ref="B17:M17"/>
    <mergeCell ref="B18:M18"/>
    <mergeCell ref="B19:M19"/>
    <mergeCell ref="C10:H10"/>
    <mergeCell ref="I10:L10"/>
    <mergeCell ref="M10:O10"/>
  </mergeCells>
  <hyperlinks>
    <hyperlink ref="F20" r:id="rId1" xr:uid="{00000000-0004-0000-0A00-00000000000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39997558519241921"/>
  </sheetPr>
  <dimension ref="A1:BD82"/>
  <sheetViews>
    <sheetView showGridLines="0" zoomScaleNormal="100" workbookViewId="0"/>
  </sheetViews>
  <sheetFormatPr defaultColWidth="9.140625" defaultRowHeight="13.15"/>
  <cols>
    <col min="1" max="1" width="3.28515625" style="878" customWidth="1"/>
    <col min="2" max="2" width="21.140625" style="878" customWidth="1"/>
    <col min="3" max="3" width="70" style="878" customWidth="1"/>
    <col min="4" max="4" width="27.7109375" style="878" customWidth="1"/>
    <col min="5" max="5" width="34.28515625" style="878" customWidth="1"/>
    <col min="6" max="6" width="17.7109375" style="878" customWidth="1"/>
    <col min="7" max="7" width="27.28515625" style="878" customWidth="1"/>
    <col min="8" max="8" width="33.28515625" style="878" bestFit="1" customWidth="1"/>
    <col min="9" max="10" width="46.28515625" style="878" customWidth="1"/>
    <col min="11" max="11" width="46.28515625" style="879" customWidth="1"/>
    <col min="12" max="12" width="9.5703125" style="879" customWidth="1"/>
    <col min="13" max="16" width="46.28515625" style="879" customWidth="1"/>
    <col min="17" max="17" width="26.28515625" style="879" customWidth="1"/>
    <col min="18" max="56" width="9.140625" style="879"/>
    <col min="57" max="16384" width="9.140625" style="878"/>
  </cols>
  <sheetData>
    <row r="1" spans="1:56" ht="13.9" thickBot="1">
      <c r="A1" s="879"/>
      <c r="B1" s="879"/>
      <c r="C1" s="879"/>
      <c r="D1" s="879"/>
      <c r="E1" s="879"/>
      <c r="F1" s="879"/>
      <c r="G1" s="879"/>
    </row>
    <row r="2" spans="1:56" s="879" customFormat="1" ht="23.45" thickBot="1">
      <c r="A2" s="878"/>
      <c r="B2" s="2013" t="s">
        <v>1212</v>
      </c>
      <c r="C2" s="2014"/>
      <c r="D2" s="2014"/>
      <c r="E2" s="2015"/>
      <c r="F2" s="894"/>
      <c r="G2" s="894"/>
      <c r="H2" s="894"/>
      <c r="I2" s="894"/>
    </row>
    <row r="3" spans="1:56" s="879" customFormat="1">
      <c r="B3" s="893" t="s">
        <v>373</v>
      </c>
      <c r="C3" s="2018" t="s">
        <v>384</v>
      </c>
      <c r="D3" s="2019"/>
      <c r="E3" s="2020"/>
    </row>
    <row r="4" spans="1:56" s="879" customFormat="1" ht="13.9" thickBot="1">
      <c r="B4" s="892" t="s">
        <v>1213</v>
      </c>
      <c r="C4" s="2021" t="s">
        <v>995</v>
      </c>
      <c r="D4" s="2022"/>
      <c r="E4" s="2023"/>
    </row>
    <row r="5" spans="1:56" s="879" customFormat="1" ht="14.25" customHeight="1" thickBot="1"/>
    <row r="6" spans="1:56" ht="23.25" customHeight="1">
      <c r="A6" s="879"/>
      <c r="B6" s="2025" t="s">
        <v>377</v>
      </c>
      <c r="C6" s="2019"/>
      <c r="D6" s="2019"/>
      <c r="E6" s="2020"/>
      <c r="F6" s="879"/>
      <c r="G6" s="879"/>
      <c r="H6" s="879"/>
      <c r="I6" s="879"/>
      <c r="J6" s="879"/>
      <c r="BB6" s="878"/>
      <c r="BC6" s="878"/>
      <c r="BD6" s="878"/>
    </row>
    <row r="7" spans="1:56" ht="154.9" customHeight="1" thickBot="1">
      <c r="A7" s="879"/>
      <c r="B7" s="2024" t="s">
        <v>1214</v>
      </c>
      <c r="C7" s="2022"/>
      <c r="D7" s="2022"/>
      <c r="E7" s="2023"/>
      <c r="F7" s="879"/>
      <c r="G7" s="879"/>
      <c r="H7" s="879"/>
      <c r="I7" s="879"/>
      <c r="J7" s="879"/>
      <c r="BB7" s="878"/>
      <c r="BC7" s="878"/>
      <c r="BD7" s="878"/>
    </row>
    <row r="8" spans="1:56" ht="13.9" thickBot="1">
      <c r="A8" s="879"/>
      <c r="B8" s="879"/>
      <c r="C8" s="879"/>
      <c r="D8" s="879"/>
      <c r="E8" s="879"/>
      <c r="F8" s="879"/>
      <c r="G8" s="879"/>
      <c r="H8" s="879"/>
      <c r="I8" s="879"/>
      <c r="J8" s="879"/>
      <c r="BB8" s="878"/>
      <c r="BC8" s="878"/>
      <c r="BD8" s="878"/>
    </row>
    <row r="9" spans="1:56" ht="18.75" customHeight="1" thickBot="1">
      <c r="A9" s="879"/>
      <c r="B9" s="1935" t="s">
        <v>1215</v>
      </c>
      <c r="C9" s="2017"/>
      <c r="D9" s="879"/>
      <c r="E9" s="879"/>
      <c r="F9" s="889"/>
      <c r="G9" s="879"/>
      <c r="H9" s="879"/>
      <c r="I9" s="879"/>
      <c r="J9" s="879"/>
      <c r="BB9" s="878"/>
      <c r="BC9" s="878"/>
      <c r="BD9" s="878"/>
    </row>
    <row r="10" spans="1:56" ht="36" customHeight="1">
      <c r="A10" s="879"/>
      <c r="B10" s="891" t="s">
        <v>1216</v>
      </c>
      <c r="C10" s="890" t="s">
        <v>1217</v>
      </c>
      <c r="D10" s="879"/>
      <c r="G10" s="879"/>
      <c r="H10" s="879"/>
      <c r="I10" s="879"/>
      <c r="J10" s="879"/>
      <c r="BB10" s="878"/>
      <c r="BC10" s="878"/>
      <c r="BD10" s="878"/>
    </row>
    <row r="11" spans="1:56" ht="13.9" thickBot="1">
      <c r="A11" s="879"/>
      <c r="B11" s="899" t="str">
        <f>Inputs!C12</f>
        <v>Abington</v>
      </c>
      <c r="C11" s="1421">
        <f>SUMIF(D15:D72,B11,F15:F72)</f>
        <v>0</v>
      </c>
      <c r="D11" s="879"/>
      <c r="E11" s="879"/>
      <c r="F11" s="889"/>
      <c r="G11" s="879"/>
      <c r="H11" s="879"/>
      <c r="I11" s="879"/>
      <c r="J11" s="879"/>
      <c r="BB11" s="878"/>
      <c r="BC11" s="878"/>
      <c r="BD11" s="878"/>
    </row>
    <row r="12" spans="1:56" ht="13.9" thickBot="1">
      <c r="A12" s="879"/>
      <c r="B12" s="879"/>
      <c r="C12" s="879"/>
      <c r="D12" s="879"/>
      <c r="E12" s="879"/>
      <c r="F12" s="879"/>
      <c r="G12" s="879"/>
      <c r="H12" s="879"/>
      <c r="I12" s="879"/>
      <c r="J12" s="879"/>
    </row>
    <row r="13" spans="1:56" ht="22.5" customHeight="1" thickBot="1">
      <c r="A13" s="879"/>
      <c r="B13" s="1935" t="s">
        <v>1218</v>
      </c>
      <c r="C13" s="2016"/>
      <c r="D13" s="2016"/>
      <c r="E13" s="2016"/>
      <c r="F13" s="2017"/>
      <c r="G13" s="879"/>
      <c r="H13" s="879"/>
      <c r="I13" s="879"/>
      <c r="J13" s="879"/>
    </row>
    <row r="14" spans="1:56" ht="51.75" customHeight="1">
      <c r="A14" s="879"/>
      <c r="B14" s="888" t="s">
        <v>1219</v>
      </c>
      <c r="C14" s="887" t="s">
        <v>1220</v>
      </c>
      <c r="D14" s="887" t="s">
        <v>1221</v>
      </c>
      <c r="E14" s="887" t="s">
        <v>1222</v>
      </c>
      <c r="F14" s="886" t="s">
        <v>1223</v>
      </c>
      <c r="G14" s="879"/>
      <c r="H14" s="879"/>
      <c r="I14" s="879"/>
      <c r="J14" s="879"/>
    </row>
    <row r="15" spans="1:56">
      <c r="A15" s="879"/>
      <c r="B15" s="885">
        <v>1000056</v>
      </c>
      <c r="C15" s="884" t="s">
        <v>1224</v>
      </c>
      <c r="D15" s="896" t="s">
        <v>1225</v>
      </c>
      <c r="E15" s="884" t="s">
        <v>1226</v>
      </c>
      <c r="F15" s="913">
        <v>133065.79999999999</v>
      </c>
      <c r="G15" s="879"/>
      <c r="H15" s="879"/>
      <c r="I15" s="879"/>
      <c r="J15"/>
      <c r="K15"/>
      <c r="L15"/>
      <c r="M15"/>
      <c r="N15"/>
      <c r="O15"/>
      <c r="P15"/>
      <c r="Q15"/>
      <c r="R15" s="1499"/>
      <c r="S15" s="1499"/>
      <c r="T15"/>
      <c r="U15"/>
      <c r="V15"/>
      <c r="W15"/>
      <c r="X15"/>
    </row>
    <row r="16" spans="1:56">
      <c r="A16" s="879"/>
      <c r="B16" s="883">
        <v>1001298</v>
      </c>
      <c r="C16" s="882" t="s">
        <v>1227</v>
      </c>
      <c r="D16" s="897" t="s">
        <v>1228</v>
      </c>
      <c r="E16" s="882" t="s">
        <v>1229</v>
      </c>
      <c r="F16" s="914">
        <v>211346.4</v>
      </c>
      <c r="G16" s="879"/>
      <c r="H16" s="879"/>
      <c r="I16" s="879"/>
      <c r="J16"/>
      <c r="K16"/>
      <c r="L16"/>
      <c r="M16"/>
      <c r="N16"/>
      <c r="O16"/>
      <c r="P16"/>
      <c r="Q16"/>
      <c r="R16" s="1499"/>
      <c r="S16" s="1499"/>
      <c r="T16"/>
      <c r="U16"/>
      <c r="V16"/>
      <c r="W16"/>
      <c r="X16"/>
    </row>
    <row r="17" spans="1:24">
      <c r="A17" s="879"/>
      <c r="B17" s="883">
        <v>1004865</v>
      </c>
      <c r="C17" s="882" t="s">
        <v>1230</v>
      </c>
      <c r="D17" s="897" t="s">
        <v>1228</v>
      </c>
      <c r="E17" s="882" t="s">
        <v>1231</v>
      </c>
      <c r="F17" s="914">
        <v>8213.7999999999993</v>
      </c>
      <c r="H17" s="879"/>
      <c r="I17" s="879"/>
      <c r="J17"/>
      <c r="K17"/>
      <c r="L17"/>
      <c r="M17"/>
      <c r="N17"/>
      <c r="O17"/>
      <c r="P17"/>
      <c r="Q17"/>
      <c r="R17" s="1499"/>
      <c r="S17" s="1499"/>
      <c r="T17"/>
      <c r="U17"/>
      <c r="V17"/>
      <c r="W17"/>
      <c r="X17"/>
    </row>
    <row r="18" spans="1:24">
      <c r="A18" s="879"/>
      <c r="B18" s="883">
        <v>1010498</v>
      </c>
      <c r="C18" s="882" t="s">
        <v>1232</v>
      </c>
      <c r="D18" s="897" t="s">
        <v>492</v>
      </c>
      <c r="E18" s="882" t="s">
        <v>1233</v>
      </c>
      <c r="F18" s="914">
        <v>28034.9</v>
      </c>
      <c r="H18" s="879"/>
      <c r="I18" s="879"/>
      <c r="J18"/>
      <c r="K18"/>
      <c r="L18"/>
      <c r="M18"/>
      <c r="N18"/>
      <c r="O18"/>
      <c r="P18"/>
      <c r="Q18"/>
      <c r="R18" s="1499"/>
      <c r="S18" s="1499"/>
      <c r="T18"/>
      <c r="U18"/>
      <c r="V18"/>
      <c r="W18"/>
      <c r="X18"/>
    </row>
    <row r="19" spans="1:24">
      <c r="A19" s="879"/>
      <c r="B19" s="883">
        <v>1005136</v>
      </c>
      <c r="C19" s="882" t="s">
        <v>1234</v>
      </c>
      <c r="D19" s="897" t="s">
        <v>1235</v>
      </c>
      <c r="E19" s="882" t="s">
        <v>1236</v>
      </c>
      <c r="F19" s="914">
        <v>105206.6</v>
      </c>
      <c r="H19" s="879"/>
      <c r="I19" s="879"/>
      <c r="J19"/>
      <c r="K19"/>
      <c r="L19"/>
      <c r="M19"/>
      <c r="N19"/>
      <c r="O19"/>
      <c r="P19"/>
      <c r="Q19"/>
      <c r="R19" s="1499"/>
      <c r="S19" s="1499"/>
      <c r="T19"/>
      <c r="U19"/>
      <c r="V19"/>
      <c r="W19"/>
      <c r="X19"/>
    </row>
    <row r="20" spans="1:24">
      <c r="A20" s="879"/>
      <c r="B20" s="883">
        <v>1004343</v>
      </c>
      <c r="C20" s="882" t="s">
        <v>1237</v>
      </c>
      <c r="D20" s="897" t="s">
        <v>1238</v>
      </c>
      <c r="E20" s="882" t="s">
        <v>1239</v>
      </c>
      <c r="F20" s="914">
        <v>46229.5</v>
      </c>
      <c r="H20" s="879"/>
      <c r="I20" s="879"/>
      <c r="J20"/>
      <c r="K20"/>
      <c r="L20"/>
      <c r="M20"/>
      <c r="N20"/>
      <c r="O20"/>
      <c r="P20"/>
      <c r="Q20"/>
      <c r="R20" s="1499"/>
      <c r="S20" s="1499"/>
      <c r="T20"/>
      <c r="U20"/>
      <c r="V20"/>
      <c r="W20"/>
      <c r="X20"/>
    </row>
    <row r="21" spans="1:24">
      <c r="A21" s="879"/>
      <c r="B21" s="883">
        <v>1001207</v>
      </c>
      <c r="C21" s="882" t="s">
        <v>524</v>
      </c>
      <c r="D21" s="897" t="s">
        <v>1240</v>
      </c>
      <c r="E21" s="882" t="s">
        <v>1241</v>
      </c>
      <c r="F21" s="914">
        <v>102219.4</v>
      </c>
      <c r="H21" s="879"/>
      <c r="I21" s="879"/>
      <c r="J21"/>
      <c r="K21"/>
      <c r="L21"/>
      <c r="M21"/>
      <c r="N21"/>
      <c r="O21"/>
      <c r="P21"/>
      <c r="Q21"/>
      <c r="R21" s="1499"/>
      <c r="S21" s="1499"/>
      <c r="T21"/>
      <c r="U21"/>
      <c r="V21"/>
      <c r="W21"/>
      <c r="X21"/>
    </row>
    <row r="22" spans="1:24">
      <c r="A22" s="879"/>
      <c r="B22" s="883">
        <v>1006864</v>
      </c>
      <c r="C22" s="882" t="s">
        <v>1242</v>
      </c>
      <c r="D22" s="897" t="s">
        <v>1240</v>
      </c>
      <c r="E22" s="882" t="s">
        <v>1243</v>
      </c>
      <c r="F22" s="914">
        <v>944612.5</v>
      </c>
      <c r="H22" s="879"/>
      <c r="I22" s="879"/>
      <c r="J22"/>
      <c r="K22"/>
      <c r="L22"/>
      <c r="M22"/>
      <c r="N22"/>
      <c r="O22"/>
      <c r="P22"/>
      <c r="Q22"/>
      <c r="R22" s="1499"/>
      <c r="S22" s="1499"/>
      <c r="T22"/>
      <c r="U22"/>
      <c r="V22"/>
      <c r="W22"/>
      <c r="X22"/>
    </row>
    <row r="23" spans="1:24">
      <c r="A23" s="879"/>
      <c r="B23" s="883">
        <v>1006657</v>
      </c>
      <c r="C23" s="882" t="s">
        <v>1244</v>
      </c>
      <c r="D23" s="897" t="s">
        <v>1245</v>
      </c>
      <c r="E23" s="882" t="s">
        <v>1246</v>
      </c>
      <c r="F23" s="914">
        <v>1045781.7</v>
      </c>
      <c r="H23" s="879"/>
      <c r="I23" s="879"/>
      <c r="J23"/>
      <c r="K23"/>
      <c r="L23"/>
      <c r="M23"/>
      <c r="N23"/>
      <c r="O23"/>
      <c r="P23"/>
      <c r="Q23"/>
      <c r="R23" s="1499"/>
      <c r="S23" s="1499"/>
      <c r="T23"/>
      <c r="U23"/>
      <c r="V23"/>
      <c r="W23"/>
      <c r="X23"/>
    </row>
    <row r="24" spans="1:24">
      <c r="A24" s="879"/>
      <c r="B24" s="883">
        <v>1002274</v>
      </c>
      <c r="C24" s="882" t="s">
        <v>1247</v>
      </c>
      <c r="D24" s="897" t="s">
        <v>534</v>
      </c>
      <c r="E24" s="882" t="s">
        <v>1248</v>
      </c>
      <c r="F24" s="914">
        <v>46990.8</v>
      </c>
      <c r="H24" s="879"/>
      <c r="I24" s="879"/>
      <c r="J24"/>
      <c r="K24"/>
      <c r="L24"/>
      <c r="M24"/>
      <c r="N24"/>
      <c r="O24"/>
      <c r="P24"/>
      <c r="Q24"/>
      <c r="R24" s="1499"/>
      <c r="S24" s="1499"/>
      <c r="T24"/>
      <c r="U24"/>
      <c r="V24"/>
      <c r="W24"/>
      <c r="X24"/>
    </row>
    <row r="25" spans="1:24">
      <c r="A25" s="879"/>
      <c r="B25" s="883">
        <v>1002497</v>
      </c>
      <c r="C25" s="882" t="s">
        <v>1249</v>
      </c>
      <c r="D25" s="897" t="s">
        <v>1250</v>
      </c>
      <c r="E25" s="882" t="s">
        <v>1251</v>
      </c>
      <c r="F25" s="914">
        <v>47613.7</v>
      </c>
      <c r="H25" s="879"/>
      <c r="I25" s="879"/>
      <c r="J25"/>
      <c r="K25"/>
      <c r="L25"/>
      <c r="M25"/>
      <c r="N25"/>
      <c r="O25"/>
      <c r="P25"/>
      <c r="Q25"/>
      <c r="R25" s="1499"/>
      <c r="S25" s="1499"/>
      <c r="T25"/>
      <c r="U25"/>
      <c r="V25"/>
      <c r="W25"/>
      <c r="X25"/>
    </row>
    <row r="26" spans="1:24">
      <c r="A26" s="879"/>
      <c r="B26" s="883">
        <v>1000092</v>
      </c>
      <c r="C26" s="882" t="s">
        <v>1252</v>
      </c>
      <c r="D26" s="897" t="s">
        <v>534</v>
      </c>
      <c r="E26" s="882" t="s">
        <v>1253</v>
      </c>
      <c r="F26" s="914">
        <v>111955.4</v>
      </c>
      <c r="H26" s="879"/>
      <c r="I26" s="879"/>
      <c r="J26"/>
      <c r="K26"/>
      <c r="L26"/>
      <c r="M26"/>
      <c r="N26"/>
      <c r="O26"/>
      <c r="P26"/>
      <c r="Q26"/>
      <c r="R26" s="1499"/>
      <c r="S26" s="1499"/>
      <c r="T26"/>
      <c r="U26"/>
      <c r="V26"/>
      <c r="W26"/>
      <c r="X26"/>
    </row>
    <row r="27" spans="1:24">
      <c r="A27" s="879"/>
      <c r="B27" s="883">
        <v>1000580</v>
      </c>
      <c r="C27" s="882" t="s">
        <v>1254</v>
      </c>
      <c r="D27" s="897" t="s">
        <v>1250</v>
      </c>
      <c r="E27" s="882" t="s">
        <v>1255</v>
      </c>
      <c r="F27" s="914">
        <v>271575.8</v>
      </c>
      <c r="H27" s="879"/>
      <c r="I27" s="879"/>
      <c r="J27"/>
      <c r="K27"/>
      <c r="L27"/>
      <c r="M27"/>
      <c r="N27"/>
      <c r="O27"/>
      <c r="P27"/>
      <c r="Q27"/>
      <c r="R27" s="1499"/>
      <c r="S27" s="1499"/>
      <c r="T27"/>
      <c r="U27"/>
      <c r="V27"/>
      <c r="W27"/>
      <c r="X27"/>
    </row>
    <row r="28" spans="1:24">
      <c r="A28" s="879"/>
      <c r="B28" s="883">
        <v>1005277</v>
      </c>
      <c r="C28" s="882" t="s">
        <v>1256</v>
      </c>
      <c r="D28" s="897" t="s">
        <v>1250</v>
      </c>
      <c r="E28" s="882" t="s">
        <v>1257</v>
      </c>
      <c r="F28" s="914">
        <v>26764.1</v>
      </c>
      <c r="H28" s="879"/>
      <c r="I28" s="879"/>
      <c r="J28"/>
      <c r="K28"/>
      <c r="L28"/>
      <c r="M28"/>
      <c r="N28"/>
      <c r="O28"/>
      <c r="P28"/>
      <c r="Q28"/>
      <c r="R28" s="1499"/>
      <c r="S28" s="1499"/>
      <c r="T28"/>
      <c r="U28"/>
      <c r="V28"/>
      <c r="W28"/>
      <c r="X28"/>
    </row>
    <row r="29" spans="1:24">
      <c r="A29" s="879"/>
      <c r="B29" s="883">
        <v>1000665</v>
      </c>
      <c r="C29" s="882" t="s">
        <v>1258</v>
      </c>
      <c r="D29" s="897" t="s">
        <v>1259</v>
      </c>
      <c r="E29" s="882" t="s">
        <v>1260</v>
      </c>
      <c r="F29" s="914">
        <v>20955</v>
      </c>
      <c r="H29" s="879"/>
      <c r="I29" s="879"/>
      <c r="J29"/>
      <c r="K29"/>
      <c r="L29"/>
      <c r="M29"/>
      <c r="N29"/>
      <c r="O29"/>
      <c r="P29"/>
      <c r="Q29"/>
      <c r="R29" s="1499"/>
      <c r="S29" s="1499"/>
      <c r="T29"/>
      <c r="U29"/>
      <c r="V29"/>
      <c r="W29"/>
      <c r="X29"/>
    </row>
    <row r="30" spans="1:24">
      <c r="A30" s="879"/>
      <c r="B30" s="883">
        <v>1000383</v>
      </c>
      <c r="C30" s="882" t="s">
        <v>1261</v>
      </c>
      <c r="D30" s="897" t="s">
        <v>1262</v>
      </c>
      <c r="E30" s="882" t="s">
        <v>1263</v>
      </c>
      <c r="F30" s="914">
        <v>29724.9</v>
      </c>
      <c r="H30" s="879"/>
      <c r="I30" s="879"/>
      <c r="J30"/>
      <c r="K30"/>
      <c r="L30"/>
      <c r="M30"/>
      <c r="N30"/>
      <c r="O30"/>
      <c r="P30"/>
      <c r="Q30"/>
      <c r="R30" s="1499"/>
      <c r="S30" s="1499"/>
      <c r="T30"/>
      <c r="U30"/>
      <c r="V30"/>
      <c r="W30"/>
      <c r="X30"/>
    </row>
    <row r="31" spans="1:24">
      <c r="A31" s="879"/>
      <c r="B31" s="883">
        <v>1000657</v>
      </c>
      <c r="C31" s="882" t="s">
        <v>1264</v>
      </c>
      <c r="D31" s="897" t="s">
        <v>1262</v>
      </c>
      <c r="E31" s="882" t="s">
        <v>1265</v>
      </c>
      <c r="F31" s="914">
        <v>676902.8</v>
      </c>
      <c r="H31" s="879"/>
      <c r="I31" s="879"/>
      <c r="J31"/>
      <c r="K31"/>
      <c r="L31"/>
      <c r="M31"/>
      <c r="N31"/>
      <c r="O31"/>
      <c r="P31"/>
      <c r="Q31"/>
      <c r="R31" s="1499"/>
      <c r="S31" s="1499"/>
      <c r="T31"/>
      <c r="U31"/>
      <c r="V31"/>
      <c r="W31"/>
      <c r="X31"/>
    </row>
    <row r="32" spans="1:24">
      <c r="A32" s="879"/>
      <c r="B32" s="883">
        <v>1001289</v>
      </c>
      <c r="C32" s="882" t="s">
        <v>1266</v>
      </c>
      <c r="D32" s="897" t="s">
        <v>1262</v>
      </c>
      <c r="E32" s="882" t="s">
        <v>1267</v>
      </c>
      <c r="F32" s="914">
        <v>168318.1</v>
      </c>
      <c r="H32" s="879"/>
      <c r="I32" s="879"/>
      <c r="J32"/>
      <c r="K32"/>
      <c r="L32"/>
      <c r="M32"/>
      <c r="N32"/>
      <c r="O32"/>
      <c r="P32"/>
      <c r="Q32"/>
      <c r="R32" s="1499"/>
      <c r="S32" s="1499"/>
      <c r="T32"/>
      <c r="U32"/>
      <c r="V32"/>
      <c r="W32"/>
      <c r="X32"/>
    </row>
    <row r="33" spans="1:24">
      <c r="A33" s="879"/>
      <c r="B33" s="883">
        <v>1000656</v>
      </c>
      <c r="C33" s="882" t="s">
        <v>1268</v>
      </c>
      <c r="D33" s="897" t="s">
        <v>548</v>
      </c>
      <c r="E33" s="882" t="s">
        <v>1269</v>
      </c>
      <c r="F33" s="914">
        <v>76288.3</v>
      </c>
      <c r="H33" s="879"/>
      <c r="I33" s="879"/>
      <c r="J33"/>
      <c r="K33"/>
      <c r="L33"/>
      <c r="M33"/>
      <c r="N33"/>
      <c r="O33"/>
      <c r="P33"/>
      <c r="Q33"/>
      <c r="R33" s="1499"/>
      <c r="S33" s="1499"/>
      <c r="T33"/>
      <c r="U33"/>
      <c r="V33"/>
      <c r="W33"/>
      <c r="X33"/>
    </row>
    <row r="34" spans="1:24">
      <c r="A34" s="879"/>
      <c r="B34" s="883">
        <v>1000653</v>
      </c>
      <c r="C34" s="882" t="s">
        <v>1270</v>
      </c>
      <c r="D34" s="897" t="s">
        <v>1271</v>
      </c>
      <c r="E34" s="882" t="s">
        <v>1272</v>
      </c>
      <c r="F34" s="914">
        <v>648304.80000000005</v>
      </c>
      <c r="H34" s="879"/>
      <c r="I34" s="879"/>
      <c r="J34"/>
      <c r="K34"/>
      <c r="L34"/>
      <c r="M34"/>
      <c r="N34"/>
      <c r="O34"/>
      <c r="P34"/>
      <c r="Q34"/>
      <c r="R34" s="1499"/>
      <c r="S34" s="1499"/>
      <c r="T34"/>
      <c r="U34"/>
      <c r="V34"/>
      <c r="W34"/>
      <c r="X34"/>
    </row>
    <row r="35" spans="1:24">
      <c r="A35" s="879"/>
      <c r="B35" s="883">
        <v>1001307</v>
      </c>
      <c r="C35" s="882" t="s">
        <v>1273</v>
      </c>
      <c r="D35" s="897" t="s">
        <v>1274</v>
      </c>
      <c r="E35" s="882" t="s">
        <v>1275</v>
      </c>
      <c r="F35" s="914">
        <v>443818.3</v>
      </c>
      <c r="H35" s="879"/>
      <c r="I35" s="879"/>
      <c r="J35"/>
      <c r="K35"/>
      <c r="L35"/>
      <c r="M35"/>
      <c r="N35"/>
      <c r="O35"/>
      <c r="P35"/>
      <c r="Q35"/>
      <c r="R35" s="1499"/>
      <c r="S35" s="1499"/>
      <c r="T35"/>
      <c r="U35"/>
      <c r="V35"/>
      <c r="W35"/>
      <c r="X35"/>
    </row>
    <row r="36" spans="1:24">
      <c r="A36" s="879"/>
      <c r="B36" s="883">
        <v>1009333</v>
      </c>
      <c r="C36" s="882" t="s">
        <v>1276</v>
      </c>
      <c r="D36" s="897" t="s">
        <v>553</v>
      </c>
      <c r="E36" s="882" t="s">
        <v>1277</v>
      </c>
      <c r="F36" s="914">
        <v>31221.1</v>
      </c>
      <c r="H36" s="879"/>
      <c r="I36" s="879"/>
      <c r="J36"/>
      <c r="K36"/>
      <c r="L36"/>
      <c r="M36"/>
      <c r="N36"/>
      <c r="O36"/>
      <c r="P36"/>
      <c r="Q36"/>
      <c r="R36" s="1499"/>
      <c r="S36" s="1499"/>
      <c r="T36"/>
      <c r="U36"/>
      <c r="V36"/>
      <c r="W36"/>
      <c r="X36"/>
    </row>
    <row r="37" spans="1:24">
      <c r="A37" s="879"/>
      <c r="B37" s="883">
        <v>1009167</v>
      </c>
      <c r="C37" s="882" t="s">
        <v>1278</v>
      </c>
      <c r="D37" s="897" t="s">
        <v>1279</v>
      </c>
      <c r="E37" s="882" t="s">
        <v>1280</v>
      </c>
      <c r="F37" s="914">
        <v>30013.200000000001</v>
      </c>
      <c r="H37" s="879"/>
      <c r="I37" s="879"/>
      <c r="J37"/>
      <c r="K37"/>
      <c r="L37"/>
      <c r="M37"/>
      <c r="N37"/>
      <c r="O37"/>
      <c r="P37"/>
      <c r="Q37"/>
      <c r="R37" s="1499"/>
      <c r="S37" s="1499"/>
      <c r="T37"/>
      <c r="U37"/>
      <c r="V37"/>
      <c r="W37"/>
      <c r="X37"/>
    </row>
    <row r="38" spans="1:24">
      <c r="A38" s="879"/>
      <c r="B38" s="883">
        <v>1001294</v>
      </c>
      <c r="C38" s="882" t="s">
        <v>575</v>
      </c>
      <c r="D38" s="897" t="s">
        <v>1281</v>
      </c>
      <c r="E38" s="882" t="s">
        <v>1282</v>
      </c>
      <c r="F38" s="914">
        <v>108306.7</v>
      </c>
      <c r="H38" s="879"/>
      <c r="I38" s="879"/>
      <c r="J38"/>
      <c r="K38"/>
      <c r="L38"/>
      <c r="M38"/>
      <c r="N38"/>
      <c r="O38"/>
      <c r="P38"/>
      <c r="Q38"/>
      <c r="R38" s="1499"/>
      <c r="S38" s="1499"/>
      <c r="T38"/>
      <c r="U38"/>
      <c r="V38"/>
      <c r="W38"/>
      <c r="X38"/>
    </row>
    <row r="39" spans="1:24">
      <c r="A39" s="879"/>
      <c r="B39" s="883">
        <v>1006452</v>
      </c>
      <c r="C39" s="882" t="s">
        <v>1283</v>
      </c>
      <c r="D39" s="897" t="s">
        <v>1284</v>
      </c>
      <c r="E39" s="882" t="s">
        <v>1285</v>
      </c>
      <c r="F39" s="914">
        <v>19168.099999999999</v>
      </c>
      <c r="H39" s="879"/>
      <c r="I39" s="879"/>
      <c r="J39"/>
      <c r="K39"/>
      <c r="L39"/>
      <c r="M39"/>
      <c r="N39"/>
      <c r="O39"/>
      <c r="P39"/>
      <c r="Q39"/>
      <c r="R39" s="1499"/>
      <c r="S39" s="1499"/>
      <c r="T39"/>
      <c r="U39"/>
      <c r="V39"/>
      <c r="W39"/>
      <c r="X39"/>
    </row>
    <row r="40" spans="1:24">
      <c r="A40" s="879"/>
      <c r="B40" s="883">
        <v>1005037</v>
      </c>
      <c r="C40" s="882" t="s">
        <v>1286</v>
      </c>
      <c r="D40" s="897" t="s">
        <v>1287</v>
      </c>
      <c r="E40" s="882" t="s">
        <v>1288</v>
      </c>
      <c r="F40" s="914">
        <v>34861.4</v>
      </c>
      <c r="H40" s="879"/>
      <c r="I40" s="879"/>
      <c r="J40"/>
      <c r="K40"/>
      <c r="L40"/>
      <c r="M40"/>
      <c r="N40"/>
      <c r="O40"/>
      <c r="P40"/>
      <c r="Q40"/>
      <c r="R40" s="1499"/>
      <c r="S40" s="1499"/>
      <c r="T40"/>
      <c r="U40"/>
      <c r="V40"/>
      <c r="W40"/>
      <c r="X40"/>
    </row>
    <row r="41" spans="1:24">
      <c r="A41" s="879"/>
      <c r="B41" s="883">
        <v>1003769</v>
      </c>
      <c r="C41" s="882" t="s">
        <v>1289</v>
      </c>
      <c r="D41" s="897" t="s">
        <v>1290</v>
      </c>
      <c r="E41" s="882" t="s">
        <v>1291</v>
      </c>
      <c r="F41" s="914">
        <v>17294</v>
      </c>
      <c r="H41" s="879"/>
      <c r="I41" s="879"/>
      <c r="J41"/>
      <c r="K41"/>
      <c r="L41"/>
      <c r="M41"/>
      <c r="N41"/>
      <c r="O41"/>
      <c r="P41"/>
      <c r="Q41"/>
      <c r="R41" s="1499"/>
      <c r="S41" s="1499"/>
      <c r="T41"/>
      <c r="U41"/>
      <c r="V41"/>
      <c r="W41"/>
      <c r="X41"/>
    </row>
    <row r="42" spans="1:24">
      <c r="A42" s="879"/>
      <c r="B42" s="883">
        <v>1005970</v>
      </c>
      <c r="C42" s="882" t="s">
        <v>1292</v>
      </c>
      <c r="D42" s="897" t="s">
        <v>1293</v>
      </c>
      <c r="E42" s="882" t="s">
        <v>1294</v>
      </c>
      <c r="F42" s="914">
        <v>28629.1</v>
      </c>
      <c r="H42" s="879"/>
      <c r="I42" s="879"/>
      <c r="J42"/>
      <c r="K42"/>
      <c r="L42"/>
      <c r="M42"/>
      <c r="N42"/>
      <c r="O42"/>
      <c r="P42"/>
      <c r="Q42"/>
      <c r="R42" s="1499"/>
      <c r="S42" s="1499"/>
      <c r="T42"/>
      <c r="U42"/>
      <c r="V42"/>
      <c r="W42"/>
      <c r="X42"/>
    </row>
    <row r="43" spans="1:24">
      <c r="A43" s="879"/>
      <c r="B43" s="883">
        <v>1006872</v>
      </c>
      <c r="C43" s="882" t="s">
        <v>1295</v>
      </c>
      <c r="D43" s="897" t="s">
        <v>1296</v>
      </c>
      <c r="E43" s="882" t="s">
        <v>1297</v>
      </c>
      <c r="F43" s="914">
        <v>31934.9</v>
      </c>
      <c r="H43" s="879"/>
      <c r="I43" s="879"/>
      <c r="J43"/>
      <c r="K43"/>
      <c r="L43"/>
      <c r="M43"/>
      <c r="N43"/>
      <c r="O43"/>
      <c r="P43"/>
      <c r="Q43"/>
      <c r="R43" s="1499"/>
      <c r="S43" s="1499"/>
      <c r="T43"/>
      <c r="U43"/>
      <c r="V43"/>
      <c r="W43"/>
      <c r="X43"/>
    </row>
    <row r="44" spans="1:24">
      <c r="A44" s="879"/>
      <c r="B44" s="883">
        <v>1005179</v>
      </c>
      <c r="C44" s="882" t="s">
        <v>1298</v>
      </c>
      <c r="D44" s="897" t="s">
        <v>1299</v>
      </c>
      <c r="E44" s="882" t="s">
        <v>1300</v>
      </c>
      <c r="F44" s="914">
        <v>235560.5</v>
      </c>
      <c r="H44" s="879"/>
      <c r="I44" s="879"/>
      <c r="J44"/>
      <c r="K44"/>
      <c r="L44"/>
      <c r="M44"/>
      <c r="N44"/>
      <c r="O44"/>
      <c r="P44"/>
      <c r="Q44"/>
      <c r="R44" s="1499"/>
      <c r="S44" s="1499"/>
      <c r="T44"/>
      <c r="U44"/>
      <c r="V44"/>
      <c r="W44"/>
      <c r="X44"/>
    </row>
    <row r="45" spans="1:24">
      <c r="A45" s="879"/>
      <c r="B45" s="883">
        <v>1007435</v>
      </c>
      <c r="C45" s="882" t="s">
        <v>1301</v>
      </c>
      <c r="D45" s="897" t="s">
        <v>1302</v>
      </c>
      <c r="E45" s="882" t="s">
        <v>1303</v>
      </c>
      <c r="F45" s="914">
        <v>108816.8</v>
      </c>
      <c r="H45" s="879"/>
      <c r="I45" s="879"/>
      <c r="J45"/>
      <c r="K45"/>
      <c r="L45"/>
      <c r="M45"/>
      <c r="N45"/>
      <c r="O45"/>
      <c r="P45"/>
      <c r="Q45"/>
      <c r="R45" s="1499"/>
      <c r="S45" s="1499"/>
      <c r="T45"/>
      <c r="U45"/>
      <c r="V45"/>
      <c r="W45"/>
      <c r="X45"/>
    </row>
    <row r="46" spans="1:24">
      <c r="A46" s="879"/>
      <c r="B46" s="883">
        <v>1001021</v>
      </c>
      <c r="C46" s="882" t="s">
        <v>1304</v>
      </c>
      <c r="D46" s="897" t="s">
        <v>1305</v>
      </c>
      <c r="E46" s="882" t="s">
        <v>1306</v>
      </c>
      <c r="F46" s="914">
        <v>64122.5</v>
      </c>
      <c r="H46" s="879"/>
      <c r="I46" s="879"/>
      <c r="J46"/>
      <c r="K46"/>
      <c r="L46"/>
      <c r="M46"/>
      <c r="N46"/>
      <c r="O46"/>
      <c r="P46"/>
      <c r="Q46"/>
      <c r="R46" s="1499"/>
      <c r="S46" s="1499"/>
      <c r="T46"/>
      <c r="U46"/>
      <c r="V46"/>
      <c r="W46"/>
      <c r="X46"/>
    </row>
    <row r="47" spans="1:24">
      <c r="A47" s="879"/>
      <c r="B47" s="883">
        <v>1001200</v>
      </c>
      <c r="C47" s="882" t="s">
        <v>1307</v>
      </c>
      <c r="D47" s="897" t="s">
        <v>1308</v>
      </c>
      <c r="E47" s="882" t="s">
        <v>1309</v>
      </c>
      <c r="F47" s="914">
        <v>27456.400000000001</v>
      </c>
      <c r="H47" s="879"/>
      <c r="I47" s="879"/>
      <c r="J47"/>
      <c r="K47"/>
      <c r="L47"/>
      <c r="M47"/>
      <c r="N47"/>
      <c r="O47"/>
      <c r="P47"/>
      <c r="Q47"/>
      <c r="R47" s="1499"/>
      <c r="S47" s="1499"/>
      <c r="T47"/>
      <c r="U47"/>
      <c r="V47"/>
      <c r="W47"/>
      <c r="X47"/>
    </row>
    <row r="48" spans="1:24">
      <c r="A48" s="879"/>
      <c r="B48" s="883">
        <v>1000655</v>
      </c>
      <c r="C48" s="882" t="s">
        <v>1310</v>
      </c>
      <c r="D48" s="897" t="s">
        <v>1311</v>
      </c>
      <c r="E48" s="882" t="s">
        <v>1312</v>
      </c>
      <c r="F48" s="914">
        <v>126975.3</v>
      </c>
      <c r="H48" s="879"/>
      <c r="I48" s="879"/>
      <c r="J48"/>
      <c r="K48"/>
      <c r="L48"/>
      <c r="M48"/>
      <c r="N48"/>
      <c r="O48"/>
      <c r="P48"/>
      <c r="Q48"/>
      <c r="R48" s="1499"/>
      <c r="S48" s="1499"/>
      <c r="T48"/>
      <c r="U48"/>
      <c r="V48"/>
      <c r="W48"/>
      <c r="X48"/>
    </row>
    <row r="49" spans="1:24">
      <c r="A49" s="879"/>
      <c r="B49" s="883">
        <v>1006775</v>
      </c>
      <c r="C49" s="882" t="s">
        <v>1313</v>
      </c>
      <c r="D49" s="897" t="s">
        <v>1314</v>
      </c>
      <c r="E49" s="882" t="s">
        <v>1315</v>
      </c>
      <c r="F49" s="914">
        <v>70510.899999999994</v>
      </c>
      <c r="H49" s="879"/>
      <c r="I49" s="879"/>
      <c r="J49"/>
      <c r="K49"/>
      <c r="L49"/>
      <c r="M49"/>
      <c r="N49"/>
      <c r="O49"/>
      <c r="P49"/>
      <c r="Q49"/>
      <c r="R49" s="1499"/>
      <c r="S49" s="1499"/>
      <c r="T49"/>
      <c r="U49"/>
      <c r="V49"/>
      <c r="W49"/>
      <c r="X49"/>
    </row>
    <row r="50" spans="1:24">
      <c r="A50" s="879"/>
      <c r="B50" s="883">
        <v>1006267</v>
      </c>
      <c r="C50" s="882" t="s">
        <v>1316</v>
      </c>
      <c r="D50" s="897" t="s">
        <v>1317</v>
      </c>
      <c r="E50" s="882" t="s">
        <v>1318</v>
      </c>
      <c r="F50" s="914">
        <v>204889</v>
      </c>
      <c r="H50" s="879"/>
      <c r="I50" s="879"/>
      <c r="J50"/>
      <c r="K50"/>
      <c r="L50"/>
      <c r="M50"/>
      <c r="N50"/>
      <c r="O50"/>
      <c r="P50"/>
      <c r="Q50"/>
      <c r="R50" s="1499"/>
      <c r="S50" s="1499"/>
      <c r="T50"/>
      <c r="U50"/>
      <c r="V50"/>
      <c r="W50"/>
      <c r="X50"/>
    </row>
    <row r="51" spans="1:24">
      <c r="A51" s="879"/>
      <c r="B51" s="883">
        <v>1004101</v>
      </c>
      <c r="C51" s="882" t="s">
        <v>1319</v>
      </c>
      <c r="D51" s="897" t="s">
        <v>1320</v>
      </c>
      <c r="E51" s="882" t="s">
        <v>1321</v>
      </c>
      <c r="F51" s="914">
        <v>168053</v>
      </c>
      <c r="H51" s="879"/>
      <c r="I51" s="879"/>
      <c r="J51"/>
      <c r="K51"/>
      <c r="L51"/>
      <c r="M51"/>
      <c r="N51"/>
      <c r="O51"/>
      <c r="P51"/>
      <c r="Q51"/>
      <c r="R51" s="1499"/>
      <c r="S51" s="1499"/>
      <c r="T51"/>
      <c r="U51"/>
      <c r="V51"/>
      <c r="W51"/>
      <c r="X51"/>
    </row>
    <row r="52" spans="1:24">
      <c r="A52" s="879"/>
      <c r="B52" s="883">
        <v>1004817</v>
      </c>
      <c r="C52" s="882" t="s">
        <v>1322</v>
      </c>
      <c r="D52" s="897" t="s">
        <v>1323</v>
      </c>
      <c r="E52" s="882" t="s">
        <v>1324</v>
      </c>
      <c r="F52" s="914">
        <v>24151.3</v>
      </c>
      <c r="H52" s="879"/>
      <c r="I52" s="879"/>
      <c r="J52"/>
      <c r="K52"/>
      <c r="L52"/>
      <c r="M52"/>
      <c r="N52"/>
      <c r="O52"/>
      <c r="P52"/>
      <c r="Q52"/>
      <c r="R52" s="1499"/>
      <c r="S52" s="1499"/>
      <c r="T52"/>
      <c r="U52"/>
      <c r="V52"/>
      <c r="W52"/>
      <c r="X52"/>
    </row>
    <row r="53" spans="1:24">
      <c r="A53" s="879"/>
      <c r="B53" s="883">
        <v>1001068</v>
      </c>
      <c r="C53" s="882" t="s">
        <v>1325</v>
      </c>
      <c r="D53" s="897" t="s">
        <v>1326</v>
      </c>
      <c r="E53" s="882" t="s">
        <v>1327</v>
      </c>
      <c r="F53" s="914">
        <v>42194.5</v>
      </c>
      <c r="H53" s="879"/>
      <c r="I53" s="879"/>
      <c r="J53"/>
      <c r="K53"/>
      <c r="L53"/>
      <c r="M53"/>
      <c r="N53"/>
      <c r="O53"/>
      <c r="P53"/>
      <c r="Q53"/>
      <c r="R53" s="1499"/>
      <c r="S53" s="1499"/>
      <c r="T53"/>
      <c r="U53"/>
      <c r="V53"/>
      <c r="W53"/>
      <c r="X53"/>
    </row>
    <row r="54" spans="1:24">
      <c r="A54" s="879"/>
      <c r="B54" s="883">
        <v>1004797</v>
      </c>
      <c r="C54" s="882" t="s">
        <v>1328</v>
      </c>
      <c r="D54" s="897" t="s">
        <v>1329</v>
      </c>
      <c r="E54" s="882" t="s">
        <v>1330</v>
      </c>
      <c r="F54" s="914">
        <v>6436.2</v>
      </c>
      <c r="H54" s="879"/>
      <c r="I54" s="879"/>
      <c r="J54"/>
      <c r="K54"/>
      <c r="L54"/>
      <c r="M54"/>
      <c r="N54"/>
      <c r="O54"/>
      <c r="P54"/>
      <c r="Q54"/>
      <c r="R54" s="1499"/>
      <c r="S54" s="1499"/>
      <c r="T54"/>
      <c r="U54"/>
      <c r="V54"/>
      <c r="W54"/>
      <c r="X54"/>
    </row>
    <row r="55" spans="1:24">
      <c r="A55" s="879"/>
      <c r="B55" s="883">
        <v>1005731</v>
      </c>
      <c r="C55" s="882" t="s">
        <v>1331</v>
      </c>
      <c r="D55" s="897" t="s">
        <v>1329</v>
      </c>
      <c r="E55" s="882" t="s">
        <v>1332</v>
      </c>
      <c r="F55" s="914">
        <v>29571.4</v>
      </c>
      <c r="H55" s="879"/>
      <c r="J55"/>
      <c r="K55"/>
      <c r="L55"/>
      <c r="M55"/>
      <c r="N55"/>
      <c r="O55"/>
      <c r="P55"/>
      <c r="Q55"/>
      <c r="R55" s="1499"/>
      <c r="S55" s="1499"/>
      <c r="T55"/>
      <c r="U55"/>
      <c r="V55"/>
      <c r="W55"/>
      <c r="X55"/>
    </row>
    <row r="56" spans="1:24">
      <c r="A56" s="879"/>
      <c r="B56" s="883">
        <v>1005710</v>
      </c>
      <c r="C56" s="882" t="s">
        <v>1333</v>
      </c>
      <c r="D56" s="897" t="s">
        <v>1334</v>
      </c>
      <c r="E56" s="882" t="s">
        <v>1335</v>
      </c>
      <c r="F56" s="914">
        <v>473809</v>
      </c>
      <c r="H56" s="879"/>
      <c r="I56" s="879"/>
      <c r="J56"/>
      <c r="K56"/>
      <c r="L56"/>
      <c r="M56"/>
      <c r="N56"/>
      <c r="O56"/>
      <c r="P56"/>
      <c r="Q56"/>
      <c r="R56" s="1499"/>
      <c r="S56" s="1499"/>
      <c r="T56"/>
      <c r="U56"/>
      <c r="V56"/>
      <c r="W56"/>
      <c r="X56"/>
    </row>
    <row r="57" spans="1:24">
      <c r="A57" s="879"/>
      <c r="B57" s="883">
        <v>1012869</v>
      </c>
      <c r="C57" s="882" t="s">
        <v>1336</v>
      </c>
      <c r="D57" s="897" t="s">
        <v>750</v>
      </c>
      <c r="E57" s="882" t="s">
        <v>1337</v>
      </c>
      <c r="F57" s="914">
        <v>222950.2</v>
      </c>
      <c r="H57" s="879"/>
      <c r="I57" s="879"/>
      <c r="J57"/>
      <c r="K57"/>
      <c r="L57"/>
      <c r="M57"/>
      <c r="N57"/>
      <c r="O57"/>
      <c r="P57"/>
      <c r="Q57"/>
      <c r="R57" s="1499"/>
      <c r="S57" s="1499"/>
      <c r="T57"/>
      <c r="U57"/>
      <c r="V57"/>
      <c r="W57"/>
      <c r="X57"/>
    </row>
    <row r="58" spans="1:24">
      <c r="A58" s="879"/>
      <c r="B58" s="883">
        <v>1000658</v>
      </c>
      <c r="C58" s="882" t="s">
        <v>1338</v>
      </c>
      <c r="D58" s="897" t="s">
        <v>1339</v>
      </c>
      <c r="E58" s="882" t="s">
        <v>1340</v>
      </c>
      <c r="F58" s="914">
        <v>376171.3</v>
      </c>
      <c r="H58" s="879"/>
      <c r="I58" s="879"/>
      <c r="J58"/>
      <c r="K58"/>
      <c r="L58"/>
      <c r="M58"/>
      <c r="N58"/>
      <c r="O58"/>
      <c r="P58"/>
      <c r="Q58"/>
      <c r="R58" s="1499"/>
      <c r="S58" s="1499"/>
      <c r="T58"/>
      <c r="U58"/>
      <c r="V58"/>
      <c r="W58"/>
      <c r="X58"/>
    </row>
    <row r="59" spans="1:24">
      <c r="A59" s="879"/>
      <c r="B59" s="883">
        <v>1004287</v>
      </c>
      <c r="C59" s="882" t="s">
        <v>1341</v>
      </c>
      <c r="D59" s="897" t="s">
        <v>1342</v>
      </c>
      <c r="E59" s="882" t="s">
        <v>1343</v>
      </c>
      <c r="F59" s="914">
        <v>127138</v>
      </c>
      <c r="H59" s="879"/>
      <c r="I59" s="879"/>
      <c r="J59"/>
      <c r="K59"/>
      <c r="L59"/>
      <c r="M59"/>
      <c r="N59"/>
      <c r="O59"/>
      <c r="P59"/>
      <c r="Q59"/>
      <c r="R59" s="1499"/>
      <c r="S59" s="1499"/>
      <c r="T59"/>
      <c r="U59"/>
      <c r="V59"/>
      <c r="W59"/>
      <c r="X59"/>
    </row>
    <row r="60" spans="1:24">
      <c r="A60" s="879"/>
      <c r="B60" s="883">
        <v>1002299</v>
      </c>
      <c r="C60" s="882" t="s">
        <v>1344</v>
      </c>
      <c r="D60" s="897" t="s">
        <v>1345</v>
      </c>
      <c r="E60" s="882" t="s">
        <v>1346</v>
      </c>
      <c r="F60" s="914">
        <v>76963.100000000006</v>
      </c>
      <c r="H60" s="879"/>
      <c r="I60" s="879"/>
      <c r="J60"/>
      <c r="K60"/>
      <c r="L60"/>
      <c r="M60"/>
      <c r="N60"/>
      <c r="O60"/>
      <c r="P60"/>
      <c r="Q60"/>
      <c r="R60" s="1499"/>
      <c r="S60" s="1499"/>
      <c r="T60"/>
      <c r="U60"/>
      <c r="V60"/>
      <c r="W60"/>
      <c r="X60"/>
    </row>
    <row r="61" spans="1:24">
      <c r="A61" s="879"/>
      <c r="B61" s="883">
        <v>1000667</v>
      </c>
      <c r="C61" s="882" t="s">
        <v>1347</v>
      </c>
      <c r="D61" s="897" t="s">
        <v>1348</v>
      </c>
      <c r="E61" s="882" t="s">
        <v>1349</v>
      </c>
      <c r="F61" s="914">
        <v>16733.7</v>
      </c>
      <c r="H61" s="879"/>
      <c r="I61" s="879"/>
      <c r="J61"/>
      <c r="K61"/>
      <c r="L61"/>
      <c r="M61"/>
      <c r="N61"/>
      <c r="O61"/>
      <c r="P61"/>
      <c r="Q61"/>
      <c r="R61" s="1499"/>
      <c r="S61" s="1499"/>
      <c r="T61"/>
      <c r="U61"/>
      <c r="V61"/>
      <c r="W61"/>
      <c r="X61"/>
    </row>
    <row r="62" spans="1:24">
      <c r="A62" s="879"/>
      <c r="B62" s="883">
        <v>1006651</v>
      </c>
      <c r="C62" s="882" t="s">
        <v>1350</v>
      </c>
      <c r="D62" s="897" t="s">
        <v>1351</v>
      </c>
      <c r="E62" s="882" t="s">
        <v>1352</v>
      </c>
      <c r="F62" s="914">
        <v>11881.9</v>
      </c>
      <c r="H62" s="879"/>
      <c r="I62" s="879"/>
      <c r="J62"/>
      <c r="K62"/>
      <c r="L62"/>
      <c r="M62"/>
      <c r="N62"/>
      <c r="O62"/>
      <c r="P62"/>
      <c r="Q62"/>
      <c r="R62" s="1499"/>
      <c r="S62" s="1499"/>
      <c r="T62"/>
      <c r="U62"/>
      <c r="V62"/>
      <c r="W62"/>
      <c r="X62"/>
    </row>
    <row r="63" spans="1:24">
      <c r="A63" s="879"/>
      <c r="B63" s="883">
        <v>1001410</v>
      </c>
      <c r="C63" s="882" t="s">
        <v>1353</v>
      </c>
      <c r="D63" s="897" t="s">
        <v>1354</v>
      </c>
      <c r="E63" s="882" t="s">
        <v>1355</v>
      </c>
      <c r="F63" s="914">
        <v>1409985.1</v>
      </c>
      <c r="H63" s="879"/>
      <c r="I63" s="879"/>
      <c r="J63"/>
      <c r="K63"/>
      <c r="L63"/>
      <c r="M63"/>
      <c r="N63"/>
      <c r="O63"/>
      <c r="P63"/>
      <c r="Q63"/>
      <c r="R63" s="1499"/>
      <c r="S63" s="1499"/>
      <c r="T63"/>
      <c r="U63"/>
      <c r="V63"/>
      <c r="W63"/>
      <c r="X63"/>
    </row>
    <row r="64" spans="1:24">
      <c r="A64" s="879"/>
      <c r="B64" s="883">
        <v>1009982</v>
      </c>
      <c r="C64" s="882" t="s">
        <v>1356</v>
      </c>
      <c r="D64" s="897" t="s">
        <v>1357</v>
      </c>
      <c r="E64" s="882" t="s">
        <v>1358</v>
      </c>
      <c r="F64" s="914">
        <v>5114.7</v>
      </c>
      <c r="H64" s="879"/>
      <c r="I64" s="879"/>
      <c r="J64"/>
      <c r="K64"/>
      <c r="L64"/>
      <c r="M64"/>
      <c r="N64"/>
      <c r="O64"/>
      <c r="P64"/>
      <c r="Q64"/>
      <c r="R64" s="1499"/>
      <c r="S64" s="1499"/>
      <c r="T64"/>
      <c r="U64"/>
      <c r="V64"/>
      <c r="W64"/>
      <c r="X64"/>
    </row>
    <row r="65" spans="1:24">
      <c r="A65" s="879"/>
      <c r="B65" s="883">
        <v>1003759</v>
      </c>
      <c r="C65" s="882" t="s">
        <v>1359</v>
      </c>
      <c r="D65" s="897" t="s">
        <v>834</v>
      </c>
      <c r="E65" s="882" t="s">
        <v>1360</v>
      </c>
      <c r="F65" s="914">
        <v>5475.8</v>
      </c>
      <c r="H65" s="879"/>
      <c r="I65" s="879"/>
      <c r="J65"/>
      <c r="K65"/>
      <c r="L65"/>
      <c r="M65"/>
      <c r="N65"/>
      <c r="O65"/>
      <c r="P65"/>
      <c r="Q65"/>
      <c r="R65" s="1499"/>
      <c r="S65" s="1499"/>
      <c r="T65"/>
      <c r="U65"/>
      <c r="V65"/>
      <c r="W65"/>
      <c r="X65"/>
    </row>
    <row r="66" spans="1:24">
      <c r="A66" s="879"/>
      <c r="B66" s="883">
        <v>1009735</v>
      </c>
      <c r="C66" s="882" t="s">
        <v>1361</v>
      </c>
      <c r="D66" s="897" t="s">
        <v>839</v>
      </c>
      <c r="E66" s="882" t="s">
        <v>1362</v>
      </c>
      <c r="F66" s="914">
        <v>4151.6000000000004</v>
      </c>
      <c r="H66" s="879"/>
      <c r="I66" s="879"/>
      <c r="J66"/>
      <c r="K66"/>
      <c r="L66"/>
      <c r="M66"/>
      <c r="N66"/>
      <c r="O66"/>
      <c r="P66"/>
      <c r="Q66"/>
      <c r="R66" s="1499"/>
      <c r="S66" s="1499"/>
      <c r="T66"/>
      <c r="U66"/>
      <c r="V66"/>
      <c r="W66"/>
      <c r="X66"/>
    </row>
    <row r="67" spans="1:24">
      <c r="A67" s="879"/>
      <c r="B67" s="883">
        <v>1003037</v>
      </c>
      <c r="C67" s="882" t="s">
        <v>1363</v>
      </c>
      <c r="D67" s="897" t="s">
        <v>1364</v>
      </c>
      <c r="E67" s="882" t="s">
        <v>1365</v>
      </c>
      <c r="F67" s="914">
        <v>51895.9</v>
      </c>
      <c r="H67" s="879"/>
      <c r="I67" s="879"/>
      <c r="J67"/>
      <c r="K67"/>
      <c r="L67"/>
      <c r="M67"/>
      <c r="N67"/>
      <c r="O67"/>
      <c r="P67"/>
      <c r="Q67"/>
      <c r="R67" s="1499"/>
      <c r="S67" s="1499"/>
      <c r="T67"/>
      <c r="U67"/>
      <c r="V67"/>
      <c r="W67"/>
      <c r="X67"/>
    </row>
    <row r="68" spans="1:24">
      <c r="A68" s="879"/>
      <c r="B68" s="883">
        <v>1006902</v>
      </c>
      <c r="C68" s="882" t="s">
        <v>1366</v>
      </c>
      <c r="D68" s="897" t="s">
        <v>1364</v>
      </c>
      <c r="E68" s="882" t="s">
        <v>1367</v>
      </c>
      <c r="F68" s="914">
        <v>85044.7</v>
      </c>
      <c r="H68" s="879"/>
      <c r="I68" s="879"/>
      <c r="J68"/>
      <c r="K68"/>
      <c r="L68"/>
      <c r="M68"/>
      <c r="N68"/>
      <c r="O68"/>
      <c r="P68"/>
      <c r="Q68"/>
      <c r="R68" s="1499"/>
      <c r="S68" s="1499"/>
      <c r="T68"/>
      <c r="U68"/>
      <c r="V68"/>
      <c r="W68"/>
      <c r="X68"/>
    </row>
    <row r="69" spans="1:24">
      <c r="A69" s="879"/>
      <c r="B69" s="883"/>
      <c r="C69" s="882"/>
      <c r="D69" s="897"/>
      <c r="E69" s="882"/>
      <c r="F69" s="914"/>
      <c r="H69" s="879"/>
      <c r="I69" s="879"/>
      <c r="J69"/>
      <c r="K69"/>
      <c r="L69"/>
      <c r="M69"/>
      <c r="N69"/>
      <c r="O69"/>
      <c r="P69"/>
      <c r="Q69"/>
      <c r="R69" s="1499"/>
      <c r="S69" s="1499"/>
      <c r="T69"/>
      <c r="U69"/>
      <c r="V69"/>
      <c r="W69"/>
      <c r="X69"/>
    </row>
    <row r="70" spans="1:24">
      <c r="A70" s="879"/>
      <c r="B70" s="883"/>
      <c r="C70" s="882"/>
      <c r="D70" s="897"/>
      <c r="E70" s="882"/>
      <c r="F70" s="914"/>
      <c r="H70" s="879"/>
      <c r="I70" s="879"/>
      <c r="J70"/>
      <c r="K70"/>
      <c r="L70"/>
      <c r="M70"/>
      <c r="N70"/>
      <c r="O70"/>
      <c r="P70"/>
      <c r="Q70"/>
      <c r="R70" s="1499"/>
      <c r="S70" s="1499"/>
      <c r="T70"/>
      <c r="U70"/>
      <c r="V70"/>
      <c r="W70"/>
      <c r="X70"/>
    </row>
    <row r="71" spans="1:24">
      <c r="A71" s="879"/>
      <c r="B71" s="883"/>
      <c r="C71" s="882"/>
      <c r="D71" s="897"/>
      <c r="E71" s="882"/>
      <c r="F71" s="914"/>
      <c r="H71" s="879"/>
      <c r="I71" s="879"/>
      <c r="J71"/>
      <c r="K71"/>
      <c r="L71"/>
      <c r="M71"/>
      <c r="N71"/>
      <c r="O71"/>
      <c r="P71"/>
      <c r="Q71"/>
      <c r="R71" s="1499"/>
      <c r="S71" s="1499"/>
      <c r="T71"/>
      <c r="U71"/>
      <c r="V71"/>
      <c r="W71"/>
      <c r="X71"/>
    </row>
    <row r="72" spans="1:24" ht="13.9" thickBot="1">
      <c r="A72" s="879"/>
      <c r="B72" s="881"/>
      <c r="C72" s="880"/>
      <c r="D72" s="898"/>
      <c r="E72" s="880"/>
      <c r="F72" s="915"/>
      <c r="H72" s="879"/>
      <c r="I72" s="879"/>
      <c r="J72"/>
      <c r="K72"/>
      <c r="L72"/>
      <c r="M72"/>
      <c r="N72"/>
      <c r="O72"/>
      <c r="P72"/>
      <c r="Q72"/>
      <c r="R72" s="1499"/>
      <c r="S72" s="1499"/>
      <c r="T72"/>
      <c r="U72"/>
      <c r="V72"/>
      <c r="W72"/>
      <c r="X72"/>
    </row>
    <row r="73" spans="1:24" ht="36" customHeight="1" thickBot="1">
      <c r="B73" s="2011" t="s">
        <v>1368</v>
      </c>
      <c r="C73" s="2012"/>
      <c r="D73" s="2012"/>
      <c r="E73" s="2012"/>
      <c r="F73" s="747" t="s">
        <v>1369</v>
      </c>
      <c r="J73"/>
      <c r="K73"/>
      <c r="L73"/>
      <c r="M73"/>
      <c r="N73"/>
      <c r="O73"/>
      <c r="P73"/>
      <c r="Q73"/>
      <c r="R73" s="1499"/>
      <c r="S73" s="1499"/>
      <c r="T73"/>
      <c r="U73"/>
      <c r="V73"/>
      <c r="W73"/>
      <c r="X73"/>
    </row>
    <row r="74" spans="1:24">
      <c r="J74"/>
      <c r="K74"/>
      <c r="L74"/>
      <c r="M74"/>
      <c r="N74"/>
      <c r="O74"/>
      <c r="P74"/>
      <c r="Q74"/>
      <c r="R74" s="1499"/>
      <c r="S74" s="1499"/>
      <c r="T74"/>
      <c r="U74"/>
      <c r="V74"/>
      <c r="W74"/>
      <c r="X74"/>
    </row>
    <row r="75" spans="1:24">
      <c r="J75"/>
      <c r="K75"/>
      <c r="L75"/>
      <c r="M75"/>
      <c r="N75"/>
      <c r="O75"/>
      <c r="P75"/>
      <c r="Q75"/>
      <c r="R75" s="1499"/>
      <c r="S75" s="1499"/>
      <c r="T75"/>
      <c r="U75"/>
      <c r="V75"/>
      <c r="W75"/>
      <c r="X75"/>
    </row>
    <row r="76" spans="1:24">
      <c r="J76"/>
      <c r="K76"/>
      <c r="L76"/>
      <c r="M76"/>
      <c r="N76"/>
      <c r="O76"/>
      <c r="P76"/>
      <c r="Q76"/>
      <c r="R76" s="1499"/>
      <c r="S76" s="1499"/>
      <c r="T76"/>
      <c r="U76"/>
      <c r="V76"/>
      <c r="W76"/>
      <c r="X76"/>
    </row>
    <row r="77" spans="1:24">
      <c r="J77"/>
      <c r="K77"/>
      <c r="L77"/>
      <c r="M77"/>
      <c r="N77"/>
      <c r="O77"/>
      <c r="P77"/>
      <c r="Q77"/>
      <c r="R77" s="1499"/>
      <c r="S77" s="1499"/>
      <c r="T77"/>
      <c r="U77"/>
      <c r="V77"/>
      <c r="W77"/>
      <c r="X77"/>
    </row>
    <row r="78" spans="1:24">
      <c r="J78"/>
      <c r="K78"/>
      <c r="L78"/>
      <c r="M78"/>
      <c r="N78"/>
      <c r="O78"/>
      <c r="P78"/>
      <c r="Q78"/>
      <c r="R78" s="1499"/>
      <c r="S78" s="1499"/>
      <c r="T78"/>
      <c r="U78"/>
      <c r="V78"/>
      <c r="W78"/>
      <c r="X78"/>
    </row>
    <row r="79" spans="1:24">
      <c r="J79"/>
      <c r="K79"/>
      <c r="L79"/>
      <c r="M79"/>
      <c r="N79"/>
      <c r="O79"/>
      <c r="P79"/>
      <c r="Q79"/>
      <c r="R79" s="1499"/>
      <c r="S79" s="1499"/>
      <c r="T79"/>
      <c r="U79"/>
      <c r="V79"/>
      <c r="W79"/>
      <c r="X79"/>
    </row>
    <row r="80" spans="1:24">
      <c r="J80"/>
      <c r="K80"/>
      <c r="L80"/>
      <c r="M80"/>
      <c r="N80"/>
      <c r="O80"/>
      <c r="P80"/>
      <c r="Q80"/>
      <c r="R80" s="1499"/>
      <c r="S80" s="1499"/>
      <c r="T80"/>
      <c r="U80"/>
      <c r="V80"/>
      <c r="W80"/>
      <c r="X80"/>
    </row>
    <row r="81" spans="10:24">
      <c r="J81"/>
      <c r="K81"/>
      <c r="L81"/>
      <c r="M81"/>
      <c r="N81"/>
      <c r="O81"/>
      <c r="P81"/>
      <c r="Q81"/>
      <c r="R81" s="1499"/>
      <c r="S81" s="1499"/>
      <c r="T81"/>
      <c r="U81"/>
      <c r="V81"/>
      <c r="W81"/>
      <c r="X81"/>
    </row>
    <row r="82" spans="10:24">
      <c r="J82"/>
      <c r="K82"/>
      <c r="L82"/>
      <c r="M82"/>
      <c r="N82"/>
      <c r="O82"/>
      <c r="P82"/>
      <c r="Q82"/>
      <c r="R82" s="1499"/>
      <c r="S82" s="1499"/>
      <c r="T82"/>
      <c r="U82"/>
      <c r="V82"/>
      <c r="W82"/>
      <c r="X82"/>
    </row>
  </sheetData>
  <autoFilter ref="B14:F14" xr:uid="{00000000-0009-0000-0000-00000B000000}">
    <sortState xmlns:xlrd2="http://schemas.microsoft.com/office/spreadsheetml/2017/richdata2" ref="B15:F72">
      <sortCondition ref="D14"/>
    </sortState>
  </autoFilter>
  <mergeCells count="8">
    <mergeCell ref="B73:E73"/>
    <mergeCell ref="B2:E2"/>
    <mergeCell ref="B13:F13"/>
    <mergeCell ref="C3:E3"/>
    <mergeCell ref="C4:E4"/>
    <mergeCell ref="B9:C9"/>
    <mergeCell ref="B7:E7"/>
    <mergeCell ref="B6:E6"/>
  </mergeCells>
  <hyperlinks>
    <hyperlink ref="F73" r:id="rId1" xr:uid="{00000000-0004-0000-0B00-00000000000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249977111117893"/>
  </sheetPr>
  <dimension ref="B1:N23"/>
  <sheetViews>
    <sheetView showGridLines="0" zoomScaleNormal="100" workbookViewId="0"/>
  </sheetViews>
  <sheetFormatPr defaultColWidth="9.140625" defaultRowHeight="13.15"/>
  <cols>
    <col min="1" max="1" width="2.7109375" style="4" customWidth="1"/>
    <col min="2" max="2" width="12" style="4" bestFit="1" customWidth="1"/>
    <col min="3" max="3" width="22.28515625" style="4" customWidth="1"/>
    <col min="4" max="8" width="16" style="4" customWidth="1"/>
    <col min="9" max="9" width="14.42578125" style="4" customWidth="1"/>
    <col min="10" max="10" width="18.85546875" style="4" customWidth="1"/>
    <col min="11" max="11" width="16.28515625" style="4" customWidth="1"/>
    <col min="12" max="12" width="10.28515625" style="4" bestFit="1" customWidth="1"/>
    <col min="13" max="13" width="16.5703125" style="4" bestFit="1" customWidth="1"/>
    <col min="14" max="14" width="16.28515625" style="4" customWidth="1"/>
    <col min="15" max="15" width="12.28515625" style="4" bestFit="1" customWidth="1"/>
    <col min="16" max="16" width="10.28515625" style="4" bestFit="1" customWidth="1"/>
    <col min="17" max="16384" width="9.140625" style="4"/>
  </cols>
  <sheetData>
    <row r="1" spans="2:14" ht="13.9" thickBot="1"/>
    <row r="2" spans="2:14" ht="23.45" thickBot="1">
      <c r="B2" s="1988" t="s">
        <v>1370</v>
      </c>
      <c r="C2" s="1989"/>
      <c r="D2" s="1989"/>
      <c r="E2" s="1989"/>
      <c r="F2" s="1989"/>
      <c r="G2" s="1990"/>
      <c r="I2" s="198"/>
    </row>
    <row r="3" spans="2:14" ht="15.75" customHeight="1">
      <c r="B3" s="199" t="s">
        <v>373</v>
      </c>
      <c r="C3" s="1940" t="s">
        <v>385</v>
      </c>
      <c r="D3" s="1941"/>
      <c r="E3" s="1941"/>
      <c r="F3" s="1941"/>
      <c r="G3" s="1942"/>
      <c r="H3" s="64"/>
      <c r="I3" s="64"/>
    </row>
    <row r="4" spans="2:14" ht="15.75" customHeight="1" thickBot="1">
      <c r="B4" s="136" t="s">
        <v>375</v>
      </c>
      <c r="C4" s="1943" t="s">
        <v>1371</v>
      </c>
      <c r="D4" s="1930"/>
      <c r="E4" s="1930"/>
      <c r="F4" s="1930"/>
      <c r="G4" s="1931"/>
      <c r="H4" s="64"/>
      <c r="I4" s="64"/>
    </row>
    <row r="5" spans="2:14" ht="17.25" customHeight="1" thickBot="1">
      <c r="B5" s="1456"/>
      <c r="C5" s="1456"/>
      <c r="D5" s="1456"/>
      <c r="E5" s="1456"/>
      <c r="F5" s="64"/>
      <c r="G5" s="64"/>
      <c r="H5" s="64"/>
      <c r="I5" s="64"/>
    </row>
    <row r="6" spans="2:14" ht="18" customHeight="1" thickBot="1">
      <c r="B6" s="1664" t="s">
        <v>377</v>
      </c>
      <c r="C6" s="1665"/>
      <c r="D6" s="1665"/>
      <c r="E6" s="1665"/>
      <c r="F6" s="1665"/>
      <c r="G6" s="1666"/>
      <c r="H6" s="64"/>
      <c r="I6" s="64"/>
    </row>
    <row r="7" spans="2:14" ht="168" customHeight="1" thickBot="1">
      <c r="B7" s="1678" t="s">
        <v>1372</v>
      </c>
      <c r="C7" s="1751"/>
      <c r="D7" s="1751"/>
      <c r="E7" s="1751"/>
      <c r="F7" s="1751"/>
      <c r="G7" s="1752"/>
      <c r="H7" s="64"/>
      <c r="I7" s="64"/>
    </row>
    <row r="8" spans="2:14" ht="13.9" thickBot="1">
      <c r="B8" s="1456"/>
      <c r="C8" s="1456"/>
      <c r="D8" s="1456"/>
      <c r="E8" s="1456"/>
      <c r="F8" s="1456"/>
      <c r="G8" s="1456"/>
      <c r="H8" s="1456"/>
      <c r="I8" s="1456"/>
      <c r="J8" s="1456"/>
    </row>
    <row r="9" spans="2:14" ht="16.5" customHeight="1" thickBot="1">
      <c r="B9" s="1664" t="s">
        <v>1373</v>
      </c>
      <c r="C9" s="1927"/>
      <c r="D9" s="1927"/>
      <c r="E9" s="1927"/>
      <c r="F9" s="1927"/>
      <c r="G9" s="1927"/>
      <c r="H9" s="1927"/>
      <c r="I9" s="1927"/>
      <c r="J9" s="1667"/>
    </row>
    <row r="10" spans="2:14" ht="57" customHeight="1" thickBot="1">
      <c r="B10" s="1075" t="s">
        <v>396</v>
      </c>
      <c r="C10" s="67" t="s">
        <v>215</v>
      </c>
      <c r="D10" s="282" t="s">
        <v>1374</v>
      </c>
      <c r="E10" s="282" t="s">
        <v>1375</v>
      </c>
      <c r="F10" s="282" t="s">
        <v>919</v>
      </c>
      <c r="G10" s="107" t="s">
        <v>968</v>
      </c>
      <c r="H10" s="312" t="s">
        <v>1376</v>
      </c>
      <c r="I10" s="282" t="s">
        <v>1377</v>
      </c>
      <c r="J10" s="281" t="s">
        <v>1378</v>
      </c>
      <c r="K10" s="8"/>
      <c r="L10" s="7"/>
      <c r="M10" s="6"/>
      <c r="N10" s="6"/>
    </row>
    <row r="11" spans="2:14">
      <c r="B11" s="2032" t="s">
        <v>399</v>
      </c>
      <c r="C11" s="71" t="s">
        <v>416</v>
      </c>
      <c r="D11" s="662"/>
      <c r="E11" s="71">
        <f>'Transportation - On Road'!D11</f>
        <v>0</v>
      </c>
      <c r="F11" s="662"/>
      <c r="G11" s="668"/>
      <c r="H11" s="748"/>
      <c r="I11" s="261">
        <f>'Transportation - On Road'!G11</f>
        <v>0</v>
      </c>
      <c r="J11" s="749"/>
      <c r="K11" s="117"/>
      <c r="L11" s="7"/>
      <c r="M11" s="6"/>
      <c r="N11" s="6"/>
    </row>
    <row r="12" spans="2:14">
      <c r="B12" s="1767"/>
      <c r="C12" s="72" t="s">
        <v>291</v>
      </c>
      <c r="D12" s="72">
        <f>'Transportation - On Road'!C12</f>
        <v>0</v>
      </c>
      <c r="E12" s="654"/>
      <c r="F12" s="654"/>
      <c r="G12" s="665"/>
      <c r="H12" s="301">
        <f>'Transportation - On Road'!F12</f>
        <v>0</v>
      </c>
      <c r="I12" s="260">
        <f>'Transportation - On Road'!G12</f>
        <v>0</v>
      </c>
      <c r="J12" s="284">
        <f>'Transportation - On Road'!H12</f>
        <v>0</v>
      </c>
      <c r="K12" s="8"/>
      <c r="L12" s="7"/>
      <c r="M12" s="6"/>
      <c r="N12" s="6"/>
    </row>
    <row r="13" spans="2:14">
      <c r="B13" s="1767"/>
      <c r="C13" s="72" t="s">
        <v>410</v>
      </c>
      <c r="D13" s="654"/>
      <c r="E13" s="654"/>
      <c r="F13" s="72">
        <f>'Transportation - On Road'!E13</f>
        <v>0</v>
      </c>
      <c r="G13" s="665"/>
      <c r="H13" s="301" t="e">
        <f>'Transportation - On Road'!F13</f>
        <v>#DIV/0!</v>
      </c>
      <c r="I13" s="260" t="e">
        <f>'Transportation - On Road'!G13</f>
        <v>#DIV/0!</v>
      </c>
      <c r="J13" s="349" t="e">
        <f>'Transportation - On Road'!H13</f>
        <v>#DIV/0!</v>
      </c>
      <c r="K13" s="8"/>
      <c r="L13" s="7"/>
      <c r="M13" s="6"/>
      <c r="N13" s="6"/>
    </row>
    <row r="14" spans="2:14">
      <c r="B14" s="1767"/>
      <c r="C14" s="72" t="s">
        <v>1379</v>
      </c>
      <c r="D14" s="654"/>
      <c r="E14" s="654"/>
      <c r="F14" s="654"/>
      <c r="G14" s="106">
        <f>'Transportation - On Road'!E125</f>
        <v>0</v>
      </c>
      <c r="H14" s="347">
        <f>'Transportation - On Road'!F14</f>
        <v>0</v>
      </c>
      <c r="I14" s="72">
        <f>'Transportation - On Road'!G14</f>
        <v>0</v>
      </c>
      <c r="J14" s="350">
        <f>'Transportation - On Road'!H14</f>
        <v>0</v>
      </c>
      <c r="K14" s="117"/>
      <c r="L14" s="7"/>
      <c r="M14" s="6"/>
      <c r="N14" s="6"/>
    </row>
    <row r="15" spans="2:14">
      <c r="B15" s="1767"/>
      <c r="C15" s="73" t="s">
        <v>293</v>
      </c>
      <c r="D15" s="73">
        <f>'Transportation - On Road'!C15</f>
        <v>0</v>
      </c>
      <c r="E15" s="656"/>
      <c r="F15" s="656"/>
      <c r="G15" s="666"/>
      <c r="H15" s="300">
        <f>'Transportation - On Road'!F15</f>
        <v>0</v>
      </c>
      <c r="I15" s="283">
        <f>'Transportation - On Road'!G15</f>
        <v>0</v>
      </c>
      <c r="J15" s="285">
        <f>'Transportation - On Road'!H15</f>
        <v>0</v>
      </c>
      <c r="K15" s="8"/>
      <c r="L15" s="7"/>
      <c r="M15" s="6"/>
      <c r="N15" s="6"/>
    </row>
    <row r="16" spans="2:14" ht="13.9" thickBot="1">
      <c r="B16" s="1768"/>
      <c r="C16" s="2029" t="s">
        <v>1380</v>
      </c>
      <c r="D16" s="2030"/>
      <c r="E16" s="2030"/>
      <c r="F16" s="2030"/>
      <c r="G16" s="2031"/>
      <c r="H16" s="299" t="e">
        <f>SUM(H11:H15)</f>
        <v>#DIV/0!</v>
      </c>
      <c r="I16" s="1349" t="e">
        <f>SUM(I11:I15)</f>
        <v>#DIV/0!</v>
      </c>
      <c r="J16" s="1422" t="e">
        <f>SUM(J11:J15)</f>
        <v>#DIV/0!</v>
      </c>
      <c r="K16" s="8"/>
      <c r="L16" s="7"/>
      <c r="M16" s="6"/>
      <c r="N16" s="6"/>
    </row>
    <row r="17" spans="2:14">
      <c r="B17" s="1773" t="s">
        <v>1381</v>
      </c>
      <c r="C17" s="72" t="s">
        <v>291</v>
      </c>
      <c r="D17" s="72">
        <f>'Transportation - Rail'!C11</f>
        <v>0</v>
      </c>
      <c r="E17" s="654"/>
      <c r="F17" s="654"/>
      <c r="G17" s="665"/>
      <c r="H17" s="298">
        <f>'Transportation - Rail'!E11</f>
        <v>0</v>
      </c>
      <c r="I17" s="260">
        <f>'Transportation - Rail'!F11</f>
        <v>0</v>
      </c>
      <c r="J17" s="349">
        <f>'Transportation - Rail'!G11</f>
        <v>0</v>
      </c>
      <c r="K17" s="8"/>
      <c r="L17" s="7"/>
      <c r="M17" s="6"/>
      <c r="N17" s="6"/>
    </row>
    <row r="18" spans="2:14">
      <c r="B18" s="1767"/>
      <c r="C18" s="72" t="s">
        <v>410</v>
      </c>
      <c r="D18" s="654"/>
      <c r="E18" s="654"/>
      <c r="F18" s="72">
        <f>'Transportation - Rail'!D12</f>
        <v>0</v>
      </c>
      <c r="G18" s="665"/>
      <c r="H18" s="298">
        <f>'Transportation - Rail'!E12</f>
        <v>0</v>
      </c>
      <c r="I18" s="260">
        <f>'Transportation - Rail'!F12</f>
        <v>0</v>
      </c>
      <c r="J18" s="262">
        <f>'Transportation - Rail'!G12</f>
        <v>0</v>
      </c>
      <c r="K18" s="8"/>
      <c r="L18" s="7"/>
      <c r="M18" s="6"/>
      <c r="N18" s="6"/>
    </row>
    <row r="19" spans="2:14">
      <c r="B19" s="1767"/>
      <c r="C19" s="73" t="s">
        <v>1379</v>
      </c>
      <c r="D19" s="656"/>
      <c r="E19" s="656"/>
      <c r="F19" s="656"/>
      <c r="G19" s="113">
        <f>'Transportation - Rail'!D13</f>
        <v>0</v>
      </c>
      <c r="H19" s="295">
        <f>'Transportation - Rail'!E13</f>
        <v>0</v>
      </c>
      <c r="I19" s="73">
        <f>'Transportation - Rail'!F13</f>
        <v>0</v>
      </c>
      <c r="J19" s="348">
        <f>'Transportation - Rail'!G13</f>
        <v>0</v>
      </c>
      <c r="K19" s="8"/>
      <c r="L19" s="7"/>
      <c r="M19" s="6"/>
      <c r="N19" s="6"/>
    </row>
    <row r="20" spans="2:14" ht="13.9" thickBot="1">
      <c r="B20" s="1768"/>
      <c r="C20" s="2029" t="s">
        <v>1382</v>
      </c>
      <c r="D20" s="2030"/>
      <c r="E20" s="2030"/>
      <c r="F20" s="2030"/>
      <c r="G20" s="2031"/>
      <c r="H20" s="291">
        <f>SUM(H17:H19)</f>
        <v>0</v>
      </c>
      <c r="I20" s="1349">
        <f>SUM(I17:I19)</f>
        <v>0</v>
      </c>
      <c r="J20" s="1423">
        <f>SUM(J17:J19)</f>
        <v>0</v>
      </c>
      <c r="K20" s="8"/>
      <c r="L20" s="7"/>
      <c r="M20" s="6"/>
      <c r="N20" s="6"/>
    </row>
    <row r="21" spans="2:14" ht="13.9" thickBot="1">
      <c r="B21" s="2026" t="s">
        <v>1383</v>
      </c>
      <c r="C21" s="2027"/>
      <c r="D21" s="2027"/>
      <c r="E21" s="2027"/>
      <c r="F21" s="2027"/>
      <c r="G21" s="2028"/>
      <c r="H21" s="297" t="e">
        <f>SUM(H16,H20)</f>
        <v>#DIV/0!</v>
      </c>
      <c r="I21" s="351" t="e">
        <f>SUM(I16,I20)</f>
        <v>#DIV/0!</v>
      </c>
      <c r="J21" s="286" t="e">
        <f>SUM(J16,J20)</f>
        <v>#DIV/0!</v>
      </c>
      <c r="K21" s="8"/>
      <c r="L21" s="7"/>
      <c r="M21" s="6"/>
      <c r="N21" s="6"/>
    </row>
    <row r="22" spans="2:14">
      <c r="B22" s="5"/>
      <c r="C22" s="6"/>
      <c r="D22" s="6"/>
      <c r="E22" s="6"/>
      <c r="F22" s="6"/>
      <c r="G22" s="6"/>
      <c r="H22" s="8"/>
      <c r="I22" s="8"/>
      <c r="J22" s="7"/>
      <c r="K22" s="6"/>
      <c r="L22" s="6"/>
    </row>
    <row r="23" spans="2:14">
      <c r="I23" s="8"/>
      <c r="J23" s="7"/>
      <c r="K23" s="6"/>
      <c r="L23" s="6"/>
    </row>
  </sheetData>
  <mergeCells count="11">
    <mergeCell ref="B2:G2"/>
    <mergeCell ref="C3:G3"/>
    <mergeCell ref="C4:G4"/>
    <mergeCell ref="B6:G6"/>
    <mergeCell ref="B7:G7"/>
    <mergeCell ref="B9:J9"/>
    <mergeCell ref="B21:G21"/>
    <mergeCell ref="B17:B20"/>
    <mergeCell ref="C16:G16"/>
    <mergeCell ref="C20:G20"/>
    <mergeCell ref="B11:B1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H600"/>
  <sheetViews>
    <sheetView showGridLines="0" zoomScale="90" zoomScaleNormal="90" workbookViewId="0"/>
  </sheetViews>
  <sheetFormatPr defaultRowHeight="13.15"/>
  <cols>
    <col min="1" max="1" width="2.7109375" style="4" customWidth="1"/>
    <col min="2" max="2" width="42.140625" customWidth="1"/>
    <col min="3" max="3" width="21.5703125" customWidth="1"/>
    <col min="4" max="4" width="20.140625" customWidth="1"/>
    <col min="5" max="5" width="17.85546875" customWidth="1"/>
    <col min="6" max="8" width="18.28515625" style="4" customWidth="1"/>
    <col min="9" max="9" width="17.85546875" style="4" customWidth="1"/>
    <col min="10" max="10" width="18.85546875" style="4" bestFit="1" customWidth="1"/>
    <col min="11" max="11" width="15.5703125" style="4" customWidth="1"/>
    <col min="12" max="12" width="18.85546875" style="4" customWidth="1"/>
    <col min="13" max="13" width="16.42578125" style="4" customWidth="1"/>
    <col min="14" max="14" width="15.7109375" style="4" customWidth="1"/>
    <col min="15" max="15" width="17.5703125" style="4" customWidth="1"/>
    <col min="16" max="18" width="14.7109375" style="4" customWidth="1"/>
    <col min="19" max="29" width="17" style="4" customWidth="1"/>
    <col min="30" max="34" width="9.140625" style="4"/>
  </cols>
  <sheetData>
    <row r="1" spans="1:10" ht="14.45" thickBot="1">
      <c r="A1" s="11"/>
      <c r="B1" s="11"/>
      <c r="C1" s="11"/>
      <c r="D1" s="11"/>
      <c r="E1" s="11"/>
      <c r="F1" s="11"/>
      <c r="G1" s="11"/>
      <c r="H1" s="11"/>
      <c r="I1" s="11"/>
      <c r="J1" s="11"/>
    </row>
    <row r="2" spans="1:10" ht="24.75" customHeight="1" thickBot="1">
      <c r="B2" s="2044" t="s">
        <v>1384</v>
      </c>
      <c r="C2" s="2045"/>
      <c r="D2" s="2045"/>
      <c r="E2" s="2046"/>
    </row>
    <row r="3" spans="1:10">
      <c r="B3" s="135" t="s">
        <v>373</v>
      </c>
      <c r="C3" s="1940" t="s">
        <v>385</v>
      </c>
      <c r="D3" s="1970"/>
      <c r="E3" s="1971"/>
    </row>
    <row r="4" spans="1:10" ht="13.9" thickBot="1">
      <c r="B4" s="136" t="s">
        <v>1213</v>
      </c>
      <c r="C4" s="1972" t="s">
        <v>399</v>
      </c>
      <c r="D4" s="1827"/>
      <c r="E4" s="1828"/>
    </row>
    <row r="5" spans="1:10" ht="13.9" thickBot="1">
      <c r="B5" s="1456"/>
      <c r="C5" s="1456"/>
      <c r="D5" s="1456"/>
      <c r="E5" s="1456"/>
    </row>
    <row r="6" spans="1:10" ht="14.45" thickBot="1">
      <c r="B6" s="1664" t="s">
        <v>377</v>
      </c>
      <c r="C6" s="1665"/>
      <c r="D6" s="1665"/>
      <c r="E6" s="1666"/>
    </row>
    <row r="7" spans="1:10" ht="109.5" customHeight="1" thickBot="1">
      <c r="B7" s="1807" t="s">
        <v>1385</v>
      </c>
      <c r="C7" s="1808"/>
      <c r="D7" s="1808"/>
      <c r="E7" s="1809"/>
    </row>
    <row r="8" spans="1:10" s="11" customFormat="1" ht="15" customHeight="1" thickBot="1">
      <c r="A8" s="2041"/>
      <c r="B8" s="2041"/>
      <c r="C8" s="2041"/>
      <c r="D8" s="2041"/>
      <c r="E8" s="2041"/>
      <c r="F8" s="2041"/>
    </row>
    <row r="9" spans="1:10" s="11" customFormat="1" ht="15" customHeight="1" thickBot="1">
      <c r="A9" s="1466"/>
      <c r="B9" s="2042" t="s">
        <v>1386</v>
      </c>
      <c r="C9" s="1908"/>
      <c r="D9" s="1908"/>
      <c r="E9" s="1908"/>
      <c r="F9" s="1711"/>
      <c r="G9" s="1711"/>
      <c r="H9" s="1712"/>
    </row>
    <row r="10" spans="1:10" s="11" customFormat="1" ht="39.6">
      <c r="A10" s="1466"/>
      <c r="B10" s="1178" t="s">
        <v>215</v>
      </c>
      <c r="C10" s="68" t="s">
        <v>1374</v>
      </c>
      <c r="D10" s="68" t="s">
        <v>1375</v>
      </c>
      <c r="E10" s="252" t="s">
        <v>919</v>
      </c>
      <c r="F10" s="264" t="s">
        <v>978</v>
      </c>
      <c r="G10" s="69" t="s">
        <v>979</v>
      </c>
      <c r="H10" s="251" t="s">
        <v>1387</v>
      </c>
    </row>
    <row r="11" spans="1:10" s="11" customFormat="1" ht="13.9">
      <c r="A11" s="1466"/>
      <c r="B11" s="214" t="s">
        <v>416</v>
      </c>
      <c r="C11" s="867"/>
      <c r="D11" s="100">
        <f>D34</f>
        <v>0</v>
      </c>
      <c r="E11" s="270"/>
      <c r="F11" s="265"/>
      <c r="G11" s="100">
        <f>G34</f>
        <v>0</v>
      </c>
      <c r="H11" s="266"/>
    </row>
    <row r="12" spans="1:10" s="11" customFormat="1" ht="13.9">
      <c r="A12" s="1466"/>
      <c r="B12" s="118" t="s">
        <v>291</v>
      </c>
      <c r="C12" s="104">
        <f>D30</f>
        <v>0</v>
      </c>
      <c r="D12" s="116"/>
      <c r="E12" s="271"/>
      <c r="F12" s="267">
        <f>F30</f>
        <v>0</v>
      </c>
      <c r="G12" s="104">
        <f>G30</f>
        <v>0</v>
      </c>
      <c r="H12" s="268">
        <f>H30</f>
        <v>0</v>
      </c>
    </row>
    <row r="13" spans="1:10" s="11" customFormat="1" ht="13.9">
      <c r="A13" s="1466"/>
      <c r="B13" s="118" t="s">
        <v>410</v>
      </c>
      <c r="C13" s="105"/>
      <c r="D13" s="105"/>
      <c r="E13" s="870">
        <f>E38</f>
        <v>0</v>
      </c>
      <c r="F13" s="267" t="e">
        <f>F38</f>
        <v>#DIV/0!</v>
      </c>
      <c r="G13" s="104" t="e">
        <f>G38</f>
        <v>#DIV/0!</v>
      </c>
      <c r="H13" s="272" t="e">
        <f>H38</f>
        <v>#DIV/0!</v>
      </c>
    </row>
    <row r="14" spans="1:10" s="11" customFormat="1" ht="13.9">
      <c r="A14" s="1466"/>
      <c r="B14" s="118" t="s">
        <v>1379</v>
      </c>
      <c r="C14" s="105"/>
      <c r="D14" s="105"/>
      <c r="E14" s="870">
        <f>E125</f>
        <v>0</v>
      </c>
      <c r="F14" s="273">
        <f>F125</f>
        <v>0</v>
      </c>
      <c r="G14" s="104">
        <f>G125</f>
        <v>0</v>
      </c>
      <c r="H14" s="274">
        <f>H125</f>
        <v>0</v>
      </c>
    </row>
    <row r="15" spans="1:10" s="11" customFormat="1" ht="13.9">
      <c r="A15" s="1466"/>
      <c r="B15" s="275" t="s">
        <v>293</v>
      </c>
      <c r="C15" s="101">
        <f>SUM(D29,D31,D32)</f>
        <v>0</v>
      </c>
      <c r="D15" s="276"/>
      <c r="E15" s="277"/>
      <c r="F15" s="278">
        <f>SUM(F29,F31,F32)</f>
        <v>0</v>
      </c>
      <c r="G15" s="101">
        <f>SUM(G29,G31,G32)</f>
        <v>0</v>
      </c>
      <c r="H15" s="279">
        <f>SUM(H29,H31,H32)</f>
        <v>0</v>
      </c>
    </row>
    <row r="16" spans="1:10" s="11" customFormat="1" ht="14.45" thickBot="1">
      <c r="A16" s="1466"/>
      <c r="B16" s="269" t="s">
        <v>1388</v>
      </c>
      <c r="C16" s="1390">
        <f t="shared" ref="C16:H16" si="0">SUM(C11:C15)</f>
        <v>0</v>
      </c>
      <c r="D16" s="1390">
        <f t="shared" si="0"/>
        <v>0</v>
      </c>
      <c r="E16" s="1027">
        <f t="shared" si="0"/>
        <v>0</v>
      </c>
      <c r="F16" s="280" t="e">
        <f t="shared" si="0"/>
        <v>#DIV/0!</v>
      </c>
      <c r="G16" s="1390" t="e">
        <f>SUM(G11:G15)</f>
        <v>#DIV/0!</v>
      </c>
      <c r="H16" s="1395" t="e">
        <f t="shared" si="0"/>
        <v>#DIV/0!</v>
      </c>
    </row>
    <row r="17" spans="1:13" s="11" customFormat="1" ht="42" customHeight="1" thickBot="1">
      <c r="A17" s="1466"/>
      <c r="B17" s="2043" t="s">
        <v>1389</v>
      </c>
      <c r="C17" s="1717"/>
      <c r="D17" s="1670"/>
      <c r="E17" s="1466"/>
      <c r="H17" s="1466"/>
    </row>
    <row r="18" spans="1:13" s="4" customFormat="1" ht="13.9" thickBot="1">
      <c r="C18" s="30"/>
    </row>
    <row r="19" spans="1:13" s="4" customFormat="1" ht="14.45" thickBot="1">
      <c r="B19" s="1890" t="s">
        <v>1390</v>
      </c>
      <c r="C19" s="1946"/>
      <c r="D19" s="1946"/>
      <c r="E19" s="1946"/>
      <c r="F19" s="1946"/>
      <c r="G19" s="1946"/>
      <c r="H19" s="1946"/>
      <c r="I19" s="1946"/>
      <c r="J19" s="1946"/>
      <c r="K19" s="1946"/>
      <c r="L19" s="1717"/>
      <c r="M19" s="1670"/>
    </row>
    <row r="20" spans="1:13" s="4" customFormat="1" ht="39.6">
      <c r="B20" s="220" t="s">
        <v>215</v>
      </c>
      <c r="C20" s="68" t="s">
        <v>1391</v>
      </c>
      <c r="D20" s="554" t="s">
        <v>1392</v>
      </c>
      <c r="E20" s="554" t="s">
        <v>1393</v>
      </c>
      <c r="F20" s="554" t="s">
        <v>1171</v>
      </c>
      <c r="G20" s="554" t="s">
        <v>1394</v>
      </c>
      <c r="H20" s="68" t="s">
        <v>1395</v>
      </c>
      <c r="I20" s="68" t="s">
        <v>1396</v>
      </c>
      <c r="J20" s="68" t="s">
        <v>1397</v>
      </c>
      <c r="K20" s="231" t="s">
        <v>1398</v>
      </c>
      <c r="L20" s="68" t="s">
        <v>1399</v>
      </c>
      <c r="M20" s="70" t="s">
        <v>1400</v>
      </c>
    </row>
    <row r="21" spans="1:13" s="4" customFormat="1">
      <c r="B21" s="750" t="s">
        <v>293</v>
      </c>
      <c r="C21" s="751">
        <f>SUM(C29,C31:C37)</f>
        <v>0</v>
      </c>
      <c r="D21" s="751">
        <f>SUM(D29,D31:D37)</f>
        <v>0</v>
      </c>
      <c r="E21" s="752" t="e">
        <f>C21/D21</f>
        <v>#DIV/0!</v>
      </c>
      <c r="F21" s="753"/>
      <c r="G21" s="753"/>
      <c r="H21" s="754">
        <f>SUM(F29,F31:F37)</f>
        <v>0</v>
      </c>
      <c r="I21" s="754">
        <f t="shared" ref="I21:J21" si="1">SUM(G29,G31:G37)</f>
        <v>0</v>
      </c>
      <c r="J21" s="754">
        <f t="shared" si="1"/>
        <v>0</v>
      </c>
      <c r="K21" s="755">
        <f>(H21*'Emission Factors'!$B$125)+(I21)+(J21*'Emission Factors'!$C$125)</f>
        <v>0</v>
      </c>
      <c r="L21" s="756" t="e">
        <f>K21/D21</f>
        <v>#DIV/0!</v>
      </c>
      <c r="M21" s="757"/>
    </row>
    <row r="22" spans="1:13" s="4" customFormat="1">
      <c r="B22" s="126" t="s">
        <v>291</v>
      </c>
      <c r="C22" s="103">
        <f>C30</f>
        <v>0</v>
      </c>
      <c r="D22" s="103">
        <f>D30</f>
        <v>0</v>
      </c>
      <c r="E22" s="259" t="e">
        <f>C22/D22</f>
        <v>#DIV/0!</v>
      </c>
      <c r="F22" s="105"/>
      <c r="G22" s="105"/>
      <c r="H22" s="258">
        <f>F30</f>
        <v>0</v>
      </c>
      <c r="I22" s="103">
        <f>G30</f>
        <v>0</v>
      </c>
      <c r="J22" s="258">
        <f>H30</f>
        <v>0</v>
      </c>
      <c r="K22" s="380">
        <f>(H22*'Emission Factors'!$B$125)+(I22)+(J22*'Emission Factors'!$C$125)</f>
        <v>0</v>
      </c>
      <c r="L22" s="382" t="e">
        <f>K22/D22</f>
        <v>#DIV/0!</v>
      </c>
      <c r="M22" s="379"/>
    </row>
    <row r="23" spans="1:13" s="4" customFormat="1" ht="13.9" thickBot="1">
      <c r="B23" s="240" t="s">
        <v>1401</v>
      </c>
      <c r="C23" s="374">
        <f>C38</f>
        <v>0</v>
      </c>
      <c r="D23" s="375"/>
      <c r="E23" s="375"/>
      <c r="F23" s="374">
        <f>E38</f>
        <v>0</v>
      </c>
      <c r="G23" s="376" t="e">
        <f>F23/C23</f>
        <v>#DIV/0!</v>
      </c>
      <c r="H23" s="377" t="e">
        <f>F38+F121</f>
        <v>#DIV/0!</v>
      </c>
      <c r="I23" s="378" t="e">
        <f>G38+G121</f>
        <v>#DIV/0!</v>
      </c>
      <c r="J23" s="377" t="e">
        <f>H38+H121</f>
        <v>#DIV/0!</v>
      </c>
      <c r="K23" s="381" t="e">
        <f>(H23*'Emission Factors'!$B$125)+(I23)+(J23*'Emission Factors'!$C$125)</f>
        <v>#DIV/0!</v>
      </c>
      <c r="L23" s="383"/>
      <c r="M23" s="384" t="e">
        <f>K23/F23</f>
        <v>#DIV/0!</v>
      </c>
    </row>
    <row r="24" spans="1:13" s="4" customFormat="1" ht="29.25" customHeight="1" thickBot="1">
      <c r="B24" s="2035" t="s">
        <v>1402</v>
      </c>
      <c r="C24" s="1962"/>
      <c r="D24" s="1962"/>
      <c r="E24" s="1963"/>
      <c r="F24" s="1530"/>
      <c r="G24" s="1531"/>
      <c r="H24" s="1532"/>
      <c r="I24" s="1533"/>
      <c r="J24" s="1532"/>
      <c r="K24" s="1530"/>
      <c r="L24" s="1534"/>
      <c r="M24" s="1535"/>
    </row>
    <row r="25" spans="1:13" s="4" customFormat="1" ht="13.9" thickBot="1">
      <c r="C25" s="30"/>
    </row>
    <row r="26" spans="1:13" s="4" customFormat="1" ht="13.9" customHeight="1" thickBot="1">
      <c r="B26" s="1879" t="s">
        <v>1403</v>
      </c>
      <c r="C26" s="1880"/>
      <c r="D26" s="1880"/>
      <c r="E26" s="1880"/>
      <c r="F26" s="1880"/>
      <c r="G26" s="1880"/>
      <c r="H26" s="1885"/>
    </row>
    <row r="27" spans="1:13" s="4" customFormat="1" ht="40.15" thickBot="1">
      <c r="B27" s="74" t="s">
        <v>1404</v>
      </c>
      <c r="C27" s="68" t="s">
        <v>1391</v>
      </c>
      <c r="D27" s="76" t="s">
        <v>1392</v>
      </c>
      <c r="E27" s="75" t="s">
        <v>1171</v>
      </c>
      <c r="F27" s="231" t="s">
        <v>1395</v>
      </c>
      <c r="G27" s="231" t="s">
        <v>1396</v>
      </c>
      <c r="H27" s="70" t="s">
        <v>1397</v>
      </c>
    </row>
    <row r="28" spans="1:13" s="4" customFormat="1">
      <c r="B28" s="223" t="s">
        <v>1405</v>
      </c>
      <c r="C28" s="353">
        <f>SUM(C29:C38)</f>
        <v>0</v>
      </c>
      <c r="D28" s="224"/>
      <c r="E28" s="225"/>
      <c r="F28" s="225"/>
      <c r="G28" s="225"/>
      <c r="H28" s="226"/>
      <c r="J28"/>
    </row>
    <row r="29" spans="1:13" s="4" customFormat="1">
      <c r="B29" s="222" t="s">
        <v>123</v>
      </c>
      <c r="C29" s="355">
        <f>SUM(C43,C57,C71,C85)</f>
        <v>0</v>
      </c>
      <c r="D29" s="869">
        <f>SUM(E43,E57,E71,E85)</f>
        <v>0</v>
      </c>
      <c r="E29" s="1527"/>
      <c r="F29" s="354">
        <f>SUM(G43,G57,G71,G85)</f>
        <v>0</v>
      </c>
      <c r="G29" s="355">
        <f>SUM(H43,H57,H71,H85)</f>
        <v>0</v>
      </c>
      <c r="H29" s="356">
        <f>SUM(I43,I57,I71,I85)</f>
        <v>0</v>
      </c>
      <c r="J29"/>
    </row>
    <row r="30" spans="1:13" s="4" customFormat="1">
      <c r="B30" s="109" t="s">
        <v>124</v>
      </c>
      <c r="C30" s="355">
        <f t="shared" ref="C30:C37" si="2">SUM(C44,C58,C72,C86)</f>
        <v>0</v>
      </c>
      <c r="D30" s="869">
        <f t="shared" ref="D30:D37" si="3">SUM(E44,E58,E72,E86)</f>
        <v>0</v>
      </c>
      <c r="E30" s="1528"/>
      <c r="F30" s="354">
        <f t="shared" ref="F30:H37" si="4">SUM(G44,G58,G72,G86)</f>
        <v>0</v>
      </c>
      <c r="G30" s="355">
        <f t="shared" si="4"/>
        <v>0</v>
      </c>
      <c r="H30" s="356">
        <f t="shared" si="4"/>
        <v>0</v>
      </c>
      <c r="J30"/>
    </row>
    <row r="31" spans="1:13" s="4" customFormat="1">
      <c r="B31" s="109" t="s">
        <v>125</v>
      </c>
      <c r="C31" s="355">
        <f t="shared" si="2"/>
        <v>0</v>
      </c>
      <c r="D31" s="869">
        <f t="shared" si="3"/>
        <v>0</v>
      </c>
      <c r="E31" s="1528"/>
      <c r="F31" s="354">
        <f t="shared" si="4"/>
        <v>0</v>
      </c>
      <c r="G31" s="355">
        <f t="shared" si="4"/>
        <v>0</v>
      </c>
      <c r="H31" s="356">
        <f t="shared" si="4"/>
        <v>0</v>
      </c>
      <c r="J31"/>
    </row>
    <row r="32" spans="1:13" s="4" customFormat="1">
      <c r="B32" s="109" t="s">
        <v>126</v>
      </c>
      <c r="C32" s="355">
        <f t="shared" si="2"/>
        <v>0</v>
      </c>
      <c r="D32" s="869">
        <f t="shared" si="3"/>
        <v>0</v>
      </c>
      <c r="E32" s="1528"/>
      <c r="F32" s="354">
        <f t="shared" si="4"/>
        <v>0</v>
      </c>
      <c r="G32" s="355">
        <f t="shared" si="4"/>
        <v>0</v>
      </c>
      <c r="H32" s="356">
        <f t="shared" si="4"/>
        <v>0</v>
      </c>
      <c r="J32"/>
    </row>
    <row r="33" spans="2:25" s="4" customFormat="1">
      <c r="B33" s="1525" t="s">
        <v>127</v>
      </c>
      <c r="C33" s="355">
        <f t="shared" si="2"/>
        <v>0</v>
      </c>
      <c r="D33" s="869">
        <f t="shared" si="3"/>
        <v>0</v>
      </c>
      <c r="E33" s="1528"/>
      <c r="F33" s="354">
        <f t="shared" si="4"/>
        <v>0</v>
      </c>
      <c r="G33" s="355">
        <f t="shared" si="4"/>
        <v>0</v>
      </c>
      <c r="H33" s="356">
        <f t="shared" si="4"/>
        <v>0</v>
      </c>
      <c r="J33"/>
    </row>
    <row r="34" spans="2:25" s="4" customFormat="1">
      <c r="B34" s="1525" t="s">
        <v>128</v>
      </c>
      <c r="C34" s="355">
        <f t="shared" si="2"/>
        <v>0</v>
      </c>
      <c r="D34" s="869">
        <f t="shared" si="3"/>
        <v>0</v>
      </c>
      <c r="E34" s="1528"/>
      <c r="F34" s="354">
        <f t="shared" si="4"/>
        <v>0</v>
      </c>
      <c r="G34" s="355">
        <f t="shared" si="4"/>
        <v>0</v>
      </c>
      <c r="H34" s="356">
        <f t="shared" si="4"/>
        <v>0</v>
      </c>
      <c r="J34"/>
    </row>
    <row r="35" spans="2:25" s="4" customFormat="1">
      <c r="B35" s="1525" t="s">
        <v>129</v>
      </c>
      <c r="C35" s="355">
        <f t="shared" si="2"/>
        <v>0</v>
      </c>
      <c r="D35" s="869">
        <f t="shared" si="3"/>
        <v>0</v>
      </c>
      <c r="E35" s="1528"/>
      <c r="F35" s="354">
        <f t="shared" si="4"/>
        <v>0</v>
      </c>
      <c r="G35" s="355">
        <f t="shared" si="4"/>
        <v>0</v>
      </c>
      <c r="H35" s="356">
        <f t="shared" si="4"/>
        <v>0</v>
      </c>
      <c r="J35"/>
    </row>
    <row r="36" spans="2:25" s="4" customFormat="1">
      <c r="B36" s="1525" t="s">
        <v>130</v>
      </c>
      <c r="C36" s="355">
        <f t="shared" si="2"/>
        <v>0</v>
      </c>
      <c r="D36" s="869">
        <f t="shared" si="3"/>
        <v>0</v>
      </c>
      <c r="E36" s="1528"/>
      <c r="F36" s="354">
        <f t="shared" si="4"/>
        <v>0</v>
      </c>
      <c r="G36" s="355">
        <f t="shared" si="4"/>
        <v>0</v>
      </c>
      <c r="H36" s="356">
        <f t="shared" si="4"/>
        <v>0</v>
      </c>
      <c r="J36"/>
    </row>
    <row r="37" spans="2:25" s="4" customFormat="1">
      <c r="B37" s="1525" t="s">
        <v>131</v>
      </c>
      <c r="C37" s="355">
        <f t="shared" si="2"/>
        <v>0</v>
      </c>
      <c r="D37" s="869">
        <f t="shared" si="3"/>
        <v>0</v>
      </c>
      <c r="E37" s="1528"/>
      <c r="F37" s="354">
        <f t="shared" si="4"/>
        <v>0</v>
      </c>
      <c r="G37" s="355">
        <f t="shared" si="4"/>
        <v>0</v>
      </c>
      <c r="H37" s="356">
        <f t="shared" si="4"/>
        <v>0</v>
      </c>
      <c r="J37"/>
    </row>
    <row r="38" spans="2:25" s="4" customFormat="1" ht="13.9" thickBot="1">
      <c r="B38" s="110" t="s">
        <v>132</v>
      </c>
      <c r="C38" s="244">
        <f>SUM(C52,C66,C80,C94)</f>
        <v>0</v>
      </c>
      <c r="D38" s="111"/>
      <c r="E38" s="246">
        <f>SUM(F52,F66)</f>
        <v>0</v>
      </c>
      <c r="F38" s="246" t="e">
        <f>SUM(G52,G66,G80,G94)</f>
        <v>#DIV/0!</v>
      </c>
      <c r="G38" s="246" t="e">
        <f t="shared" ref="G38" si="5">SUM(H52,H66,H80,H94)</f>
        <v>#DIV/0!</v>
      </c>
      <c r="H38" s="384" t="e">
        <f>SUM(I52,I66,I80,I94)</f>
        <v>#DIV/0!</v>
      </c>
      <c r="J38"/>
    </row>
    <row r="39" spans="2:25" s="4" customFormat="1" ht="86.25" customHeight="1" thickBot="1">
      <c r="B39" s="2035" t="s">
        <v>1406</v>
      </c>
      <c r="C39" s="1962"/>
      <c r="D39" s="1962"/>
      <c r="E39" s="1963"/>
      <c r="J39"/>
    </row>
    <row r="40" spans="2:25" s="4" customFormat="1" ht="13.9" thickBot="1">
      <c r="C40" s="30"/>
    </row>
    <row r="41" spans="2:25" s="4" customFormat="1" ht="14.25" customHeight="1" thickBot="1">
      <c r="B41" s="1879" t="s">
        <v>1407</v>
      </c>
      <c r="C41" s="1880"/>
      <c r="D41" s="1880"/>
      <c r="E41" s="1880"/>
      <c r="F41" s="1880"/>
      <c r="G41" s="1880"/>
      <c r="H41" s="1880"/>
      <c r="I41" s="1880"/>
      <c r="J41" s="1885"/>
      <c r="K41"/>
      <c r="L41"/>
      <c r="M41"/>
      <c r="N41"/>
      <c r="O41"/>
      <c r="P41"/>
      <c r="Q41"/>
      <c r="R41"/>
      <c r="S41"/>
      <c r="T41"/>
      <c r="U41"/>
      <c r="V41"/>
      <c r="W41"/>
      <c r="X41"/>
      <c r="Y41"/>
    </row>
    <row r="42" spans="2:25" s="4" customFormat="1" ht="40.15" thickBot="1">
      <c r="B42" s="220" t="s">
        <v>1408</v>
      </c>
      <c r="C42" s="68" t="s">
        <v>1409</v>
      </c>
      <c r="D42" s="68" t="s">
        <v>1410</v>
      </c>
      <c r="E42" s="68" t="s">
        <v>1392</v>
      </c>
      <c r="F42" s="68" t="s">
        <v>1171</v>
      </c>
      <c r="G42" s="68" t="s">
        <v>1395</v>
      </c>
      <c r="H42" s="68" t="s">
        <v>1396</v>
      </c>
      <c r="I42" s="70" t="s">
        <v>1397</v>
      </c>
      <c r="J42" s="1207" t="s">
        <v>1411</v>
      </c>
    </row>
    <row r="43" spans="2:25" s="4" customFormat="1">
      <c r="B43" s="222" t="s">
        <v>123</v>
      </c>
      <c r="C43" s="248">
        <f>Inputs!C219</f>
        <v>0</v>
      </c>
      <c r="D43" s="114"/>
      <c r="E43" s="248">
        <f>Inputs!D219</f>
        <v>0</v>
      </c>
      <c r="F43" s="114"/>
      <c r="G43" s="247">
        <f>E43*'Emission Factors'!$D$130</f>
        <v>0</v>
      </c>
      <c r="H43" s="759">
        <f>E43*'Emission Factors'!$E$130</f>
        <v>0</v>
      </c>
      <c r="I43" s="760">
        <f>E43*'Emission Factors'!$F$130</f>
        <v>0</v>
      </c>
      <c r="J43" s="760">
        <f>(G43*'Emission Factors'!$B$125)+H43+(I43*'Emission Factors'!$C$125)</f>
        <v>0</v>
      </c>
    </row>
    <row r="44" spans="2:25" s="4" customFormat="1">
      <c r="B44" s="109" t="s">
        <v>124</v>
      </c>
      <c r="C44" s="248">
        <f>Inputs!C220</f>
        <v>0</v>
      </c>
      <c r="D44" s="115"/>
      <c r="E44" s="248">
        <f>Inputs!D220</f>
        <v>0</v>
      </c>
      <c r="F44" s="115"/>
      <c r="G44" s="243">
        <f>E44*'Emission Factors'!$D$129</f>
        <v>0</v>
      </c>
      <c r="H44" s="241">
        <f>E44*'Emission Factors'!$E$129</f>
        <v>0</v>
      </c>
      <c r="I44" s="764">
        <f>E44*'Emission Factors'!$F$129</f>
        <v>0</v>
      </c>
      <c r="J44" s="764">
        <f>(G44*'Emission Factors'!$B$125)+H44+(I44*'Emission Factors'!$C$125)</f>
        <v>0</v>
      </c>
    </row>
    <row r="45" spans="2:25" s="4" customFormat="1">
      <c r="B45" s="109" t="s">
        <v>125</v>
      </c>
      <c r="C45" s="248">
        <f>Inputs!C221</f>
        <v>0</v>
      </c>
      <c r="D45" s="115"/>
      <c r="E45" s="248">
        <f>Inputs!D221</f>
        <v>0</v>
      </c>
      <c r="F45" s="115"/>
      <c r="G45" s="243">
        <f>E45*'Emission Factors'!$D$130</f>
        <v>0</v>
      </c>
      <c r="H45" s="241">
        <f>E45*'Emission Factors'!$E$130</f>
        <v>0</v>
      </c>
      <c r="I45" s="764">
        <f>E45*'Emission Factors'!$F$130</f>
        <v>0</v>
      </c>
      <c r="J45" s="764">
        <f>(G45*'Emission Factors'!$B$125)+H45+(I45*'Emission Factors'!$C$125)</f>
        <v>0</v>
      </c>
    </row>
    <row r="46" spans="2:25" s="4" customFormat="1">
      <c r="B46" s="109" t="s">
        <v>126</v>
      </c>
      <c r="C46" s="248">
        <f>Inputs!C222</f>
        <v>0</v>
      </c>
      <c r="D46" s="115"/>
      <c r="E46" s="248">
        <f>Inputs!D222</f>
        <v>0</v>
      </c>
      <c r="F46" s="115"/>
      <c r="G46" s="243">
        <f>E46*'Emission Factors'!$D$130</f>
        <v>0</v>
      </c>
      <c r="H46" s="241">
        <f>E46*'Emission Factors'!$E$130</f>
        <v>0</v>
      </c>
      <c r="I46" s="764">
        <f>E46*'Emission Factors'!$F$130</f>
        <v>0</v>
      </c>
      <c r="J46" s="764">
        <f>(G46*'Emission Factors'!$B$125)+H46+(I46*'Emission Factors'!$C$125)</f>
        <v>0</v>
      </c>
    </row>
    <row r="47" spans="2:25" s="4" customFormat="1">
      <c r="B47" s="1525" t="s">
        <v>127</v>
      </c>
      <c r="C47" s="248">
        <f>Inputs!C223</f>
        <v>0</v>
      </c>
      <c r="D47" s="1526"/>
      <c r="E47" s="248">
        <f>Inputs!D223</f>
        <v>0</v>
      </c>
      <c r="F47" s="1526"/>
      <c r="G47" s="243">
        <f>E47*'Emission Factors'!$D$130</f>
        <v>0</v>
      </c>
      <c r="H47" s="241">
        <f>E47*'Emission Factors'!$E$130</f>
        <v>0</v>
      </c>
      <c r="I47" s="764">
        <f>E47*'Emission Factors'!$F$130</f>
        <v>0</v>
      </c>
      <c r="J47" s="764">
        <f>(G47*'Emission Factors'!$B$125)+H47+(I47*'Emission Factors'!$C$125)</f>
        <v>0</v>
      </c>
    </row>
    <row r="48" spans="2:25" s="4" customFormat="1">
      <c r="B48" s="1525" t="s">
        <v>128</v>
      </c>
      <c r="C48" s="248">
        <f>Inputs!C224</f>
        <v>0</v>
      </c>
      <c r="D48" s="1526"/>
      <c r="E48" s="248">
        <f>Inputs!D224</f>
        <v>0</v>
      </c>
      <c r="F48" s="1526"/>
      <c r="G48" s="243">
        <f>E48*'Emission Factors'!$D$130</f>
        <v>0</v>
      </c>
      <c r="H48" s="241">
        <f>E48*'Emission Factors'!$E$130</f>
        <v>0</v>
      </c>
      <c r="I48" s="764">
        <f>E48*'Emission Factors'!$F$130</f>
        <v>0</v>
      </c>
      <c r="J48" s="764">
        <f>(G48*'Emission Factors'!$B$125)+H48+(I48*'Emission Factors'!$C$125)</f>
        <v>0</v>
      </c>
    </row>
    <row r="49" spans="2:16" s="4" customFormat="1">
      <c r="B49" s="1525" t="s">
        <v>129</v>
      </c>
      <c r="C49" s="248">
        <f>Inputs!C225</f>
        <v>0</v>
      </c>
      <c r="D49" s="1526"/>
      <c r="E49" s="248">
        <f>Inputs!D225</f>
        <v>0</v>
      </c>
      <c r="F49" s="1526"/>
      <c r="G49" s="243">
        <f>E49*'Emission Factors'!$D$130</f>
        <v>0</v>
      </c>
      <c r="H49" s="241">
        <f>E49*'Emission Factors'!$E$130</f>
        <v>0</v>
      </c>
      <c r="I49" s="764">
        <f>E49*'Emission Factors'!$F$130</f>
        <v>0</v>
      </c>
      <c r="J49" s="764">
        <f>(G49*'Emission Factors'!$B$125)+H49+(I49*'Emission Factors'!$C$125)</f>
        <v>0</v>
      </c>
    </row>
    <row r="50" spans="2:16" s="4" customFormat="1">
      <c r="B50" s="1525" t="s">
        <v>130</v>
      </c>
      <c r="C50" s="248">
        <f>Inputs!C226</f>
        <v>0</v>
      </c>
      <c r="D50" s="1526"/>
      <c r="E50" s="248">
        <f>Inputs!D226</f>
        <v>0</v>
      </c>
      <c r="F50" s="1526"/>
      <c r="G50" s="243">
        <f>E50*'Emission Factors'!$D$130</f>
        <v>0</v>
      </c>
      <c r="H50" s="241">
        <f>E50*'Emission Factors'!$E$130</f>
        <v>0</v>
      </c>
      <c r="I50" s="764">
        <f>E50*'Emission Factors'!$F$130</f>
        <v>0</v>
      </c>
      <c r="J50" s="764">
        <f>(G50*'Emission Factors'!$B$125)+H50+(I50*'Emission Factors'!$C$125)</f>
        <v>0</v>
      </c>
    </row>
    <row r="51" spans="2:16" s="4" customFormat="1">
      <c r="B51" s="1525" t="s">
        <v>131</v>
      </c>
      <c r="C51" s="248">
        <f>Inputs!C227</f>
        <v>0</v>
      </c>
      <c r="D51" s="1526"/>
      <c r="E51" s="248">
        <f>Inputs!D227</f>
        <v>0</v>
      </c>
      <c r="F51" s="1526"/>
      <c r="G51" s="243">
        <f>E51*'Emission Factors'!$D$130</f>
        <v>0</v>
      </c>
      <c r="H51" s="241">
        <f>E51*'Emission Factors'!$E$130</f>
        <v>0</v>
      </c>
      <c r="I51" s="764">
        <f>E51*'Emission Factors'!$F$130</f>
        <v>0</v>
      </c>
      <c r="J51" s="764">
        <f>(G51*'Emission Factors'!$B$125)+H51+(I51*'Emission Factors'!$C$125)</f>
        <v>0</v>
      </c>
    </row>
    <row r="52" spans="2:16" s="4" customFormat="1" ht="13.9" thickBot="1">
      <c r="B52" s="110" t="s">
        <v>132</v>
      </c>
      <c r="C52" s="1510">
        <f>Inputs!C228</f>
        <v>0</v>
      </c>
      <c r="D52" s="112">
        <f>$D$106</f>
        <v>0.30142857142857143</v>
      </c>
      <c r="E52" s="249" t="s">
        <v>1412</v>
      </c>
      <c r="F52" s="250">
        <f>C52*D52</f>
        <v>0</v>
      </c>
      <c r="G52" s="768" t="e">
        <f>F52*'Emission Factors'!$G$119</f>
        <v>#DIV/0!</v>
      </c>
      <c r="H52" s="766" t="e">
        <f>F52*'Emission Factors'!$H$119</f>
        <v>#DIV/0!</v>
      </c>
      <c r="I52" s="767" t="e">
        <f>F52*'Emission Factors'!$I$119</f>
        <v>#DIV/0!</v>
      </c>
      <c r="J52" s="877" t="e">
        <f>(G52*'Emission Factors'!$B$125)+H52+(I52*'Emission Factors'!$C$125)</f>
        <v>#DIV/0!</v>
      </c>
    </row>
    <row r="53" spans="2:16" s="4" customFormat="1" ht="84.75" customHeight="1" thickBot="1">
      <c r="B53" s="2035" t="s">
        <v>1406</v>
      </c>
      <c r="C53" s="1962"/>
      <c r="D53" s="1962"/>
      <c r="E53" s="1963"/>
      <c r="G53" s="834"/>
      <c r="I53" s="6"/>
      <c r="P53" s="6"/>
    </row>
    <row r="54" spans="2:16" s="4" customFormat="1" ht="13.9" thickBot="1"/>
    <row r="55" spans="2:16" s="4" customFormat="1" ht="14.25" customHeight="1" thickBot="1">
      <c r="B55" s="1879" t="s">
        <v>1413</v>
      </c>
      <c r="C55" s="1880"/>
      <c r="D55" s="1880"/>
      <c r="E55" s="1880"/>
      <c r="F55" s="1880"/>
      <c r="G55" s="1880"/>
      <c r="H55" s="1880"/>
      <c r="I55" s="1880"/>
      <c r="J55" s="1885"/>
    </row>
    <row r="56" spans="2:16" s="4" customFormat="1" ht="40.15" thickBot="1">
      <c r="B56" s="220" t="s">
        <v>1414</v>
      </c>
      <c r="C56" s="68" t="s">
        <v>1391</v>
      </c>
      <c r="D56" s="68" t="s">
        <v>1410</v>
      </c>
      <c r="E56" s="68" t="s">
        <v>1392</v>
      </c>
      <c r="F56" s="68" t="s">
        <v>1171</v>
      </c>
      <c r="G56" s="68" t="s">
        <v>1395</v>
      </c>
      <c r="H56" s="68" t="s">
        <v>1396</v>
      </c>
      <c r="I56" s="70" t="s">
        <v>1397</v>
      </c>
      <c r="J56" s="1207" t="s">
        <v>1411</v>
      </c>
    </row>
    <row r="57" spans="2:16" s="4" customFormat="1">
      <c r="B57" s="222" t="s">
        <v>123</v>
      </c>
      <c r="C57" s="241">
        <f>Inputs!C233</f>
        <v>0</v>
      </c>
      <c r="D57" s="114"/>
      <c r="E57" s="241">
        <f>Inputs!D233</f>
        <v>0</v>
      </c>
      <c r="F57" s="114"/>
      <c r="G57" s="758">
        <f>E57*'Emission Factors'!$D$130</f>
        <v>0</v>
      </c>
      <c r="H57" s="759">
        <f>E57*'Emission Factors'!$E$130</f>
        <v>0</v>
      </c>
      <c r="I57" s="760">
        <f>E57*'Emission Factors'!$F$130</f>
        <v>0</v>
      </c>
      <c r="J57" s="760">
        <f>(G57*'Emission Factors'!$B$125)+H57+(I57*'Emission Factors'!$C$125)</f>
        <v>0</v>
      </c>
    </row>
    <row r="58" spans="2:16" s="4" customFormat="1">
      <c r="B58" s="109" t="s">
        <v>124</v>
      </c>
      <c r="C58" s="241">
        <f>Inputs!C234</f>
        <v>0</v>
      </c>
      <c r="D58" s="115"/>
      <c r="E58" s="241">
        <f>Inputs!D234</f>
        <v>0</v>
      </c>
      <c r="F58" s="115"/>
      <c r="G58" s="761">
        <f>E58*'Emission Factors'!$D$129</f>
        <v>0</v>
      </c>
      <c r="H58" s="762">
        <f>E58*'Emission Factors'!$E$129</f>
        <v>0</v>
      </c>
      <c r="I58" s="763">
        <f>E58*'Emission Factors'!$F$129</f>
        <v>0</v>
      </c>
      <c r="J58" s="764">
        <f>(G58*'Emission Factors'!$B$125)+H58+(I58*'Emission Factors'!$C$125)</f>
        <v>0</v>
      </c>
    </row>
    <row r="59" spans="2:16" s="4" customFormat="1">
      <c r="B59" s="109" t="s">
        <v>125</v>
      </c>
      <c r="C59" s="241">
        <f>Inputs!C235</f>
        <v>0</v>
      </c>
      <c r="D59" s="115"/>
      <c r="E59" s="241">
        <f>Inputs!D235</f>
        <v>0</v>
      </c>
      <c r="F59" s="115"/>
      <c r="G59" s="221">
        <f>E59*'Emission Factors'!$D$130</f>
        <v>0</v>
      </c>
      <c r="H59" s="241">
        <f>E59*'Emission Factors'!$E$130</f>
        <v>0</v>
      </c>
      <c r="I59" s="764">
        <f>E59*'Emission Factors'!$F$130</f>
        <v>0</v>
      </c>
      <c r="J59" s="764">
        <f>(G59*'Emission Factors'!$B$125)+H59+(I59*'Emission Factors'!$C$125)</f>
        <v>0</v>
      </c>
    </row>
    <row r="60" spans="2:16" s="4" customFormat="1">
      <c r="B60" s="109" t="s">
        <v>126</v>
      </c>
      <c r="C60" s="241">
        <f>Inputs!C236</f>
        <v>0</v>
      </c>
      <c r="D60" s="115"/>
      <c r="E60" s="241">
        <f>Inputs!D236</f>
        <v>0</v>
      </c>
      <c r="F60" s="115"/>
      <c r="G60" s="221">
        <f>E60*'Emission Factors'!$D$130</f>
        <v>0</v>
      </c>
      <c r="H60" s="241">
        <f>E60*'Emission Factors'!$E$130</f>
        <v>0</v>
      </c>
      <c r="I60" s="764">
        <f>E60*'Emission Factors'!$F$130</f>
        <v>0</v>
      </c>
      <c r="J60" s="764">
        <f>(G60*'Emission Factors'!$B$125)+H60+(I60*'Emission Factors'!$C$125)</f>
        <v>0</v>
      </c>
    </row>
    <row r="61" spans="2:16" s="4" customFormat="1">
      <c r="B61" s="1525" t="s">
        <v>127</v>
      </c>
      <c r="C61" s="241">
        <f>Inputs!C237</f>
        <v>0</v>
      </c>
      <c r="D61" s="115"/>
      <c r="E61" s="241">
        <f>Inputs!D237</f>
        <v>0</v>
      </c>
      <c r="F61" s="115"/>
      <c r="G61" s="221">
        <f>E61*'Emission Factors'!$D$130</f>
        <v>0</v>
      </c>
      <c r="H61" s="241">
        <f>E61*'Emission Factors'!$E$130</f>
        <v>0</v>
      </c>
      <c r="I61" s="764">
        <f>E61*'Emission Factors'!$F$130</f>
        <v>0</v>
      </c>
      <c r="J61" s="764">
        <f>(G61*'Emission Factors'!$B$125)+H61+(I61*'Emission Factors'!$C$125)</f>
        <v>0</v>
      </c>
    </row>
    <row r="62" spans="2:16" s="4" customFormat="1">
      <c r="B62" s="1525" t="s">
        <v>128</v>
      </c>
      <c r="C62" s="241">
        <f>Inputs!C238</f>
        <v>0</v>
      </c>
      <c r="D62" s="115"/>
      <c r="E62" s="241">
        <f>Inputs!D238</f>
        <v>0</v>
      </c>
      <c r="F62" s="115"/>
      <c r="G62" s="221">
        <f>E62*'Emission Factors'!$D$130</f>
        <v>0</v>
      </c>
      <c r="H62" s="241">
        <f>E62*'Emission Factors'!$E$130</f>
        <v>0</v>
      </c>
      <c r="I62" s="764">
        <f>E62*'Emission Factors'!$F$130</f>
        <v>0</v>
      </c>
      <c r="J62" s="764">
        <f>(G62*'Emission Factors'!$B$125)+H62+(I62*'Emission Factors'!$C$125)</f>
        <v>0</v>
      </c>
    </row>
    <row r="63" spans="2:16" s="4" customFormat="1">
      <c r="B63" s="1525" t="s">
        <v>129</v>
      </c>
      <c r="C63" s="241">
        <f>Inputs!C239</f>
        <v>0</v>
      </c>
      <c r="D63" s="115"/>
      <c r="E63" s="241">
        <f>Inputs!D239</f>
        <v>0</v>
      </c>
      <c r="F63" s="115"/>
      <c r="G63" s="221">
        <f>E63*'Emission Factors'!$D$130</f>
        <v>0</v>
      </c>
      <c r="H63" s="241">
        <f>E63*'Emission Factors'!$E$130</f>
        <v>0</v>
      </c>
      <c r="I63" s="764">
        <f>E63*'Emission Factors'!$F$130</f>
        <v>0</v>
      </c>
      <c r="J63" s="764">
        <f>(G63*'Emission Factors'!$B$125)+H63+(I63*'Emission Factors'!$C$125)</f>
        <v>0</v>
      </c>
    </row>
    <row r="64" spans="2:16" s="4" customFormat="1">
      <c r="B64" s="1525" t="s">
        <v>130</v>
      </c>
      <c r="C64" s="241">
        <f>Inputs!C240</f>
        <v>0</v>
      </c>
      <c r="D64" s="115"/>
      <c r="E64" s="241">
        <f>Inputs!D240</f>
        <v>0</v>
      </c>
      <c r="F64" s="115"/>
      <c r="G64" s="221">
        <f>E64*'Emission Factors'!$D$130</f>
        <v>0</v>
      </c>
      <c r="H64" s="241">
        <f>E64*'Emission Factors'!$E$130</f>
        <v>0</v>
      </c>
      <c r="I64" s="764">
        <f>E64*'Emission Factors'!$F$130</f>
        <v>0</v>
      </c>
      <c r="J64" s="764">
        <f>(G64*'Emission Factors'!$B$125)+H64+(I64*'Emission Factors'!$C$125)</f>
        <v>0</v>
      </c>
    </row>
    <row r="65" spans="2:10" s="4" customFormat="1">
      <c r="B65" s="1525" t="s">
        <v>131</v>
      </c>
      <c r="C65" s="241">
        <f>Inputs!C241</f>
        <v>0</v>
      </c>
      <c r="D65" s="115"/>
      <c r="E65" s="241">
        <f>Inputs!D241</f>
        <v>0</v>
      </c>
      <c r="F65" s="115"/>
      <c r="G65" s="221">
        <f>E65*'Emission Factors'!$D$130</f>
        <v>0</v>
      </c>
      <c r="H65" s="241">
        <f>E65*'Emission Factors'!$E$130</f>
        <v>0</v>
      </c>
      <c r="I65" s="764">
        <f>E65*'Emission Factors'!$F$130</f>
        <v>0</v>
      </c>
      <c r="J65" s="764">
        <f>(G65*'Emission Factors'!$B$125)+H65+(I65*'Emission Factors'!$C$125)</f>
        <v>0</v>
      </c>
    </row>
    <row r="66" spans="2:10" s="4" customFormat="1" ht="13.9" thickBot="1">
      <c r="B66" s="110" t="s">
        <v>132</v>
      </c>
      <c r="C66" s="244">
        <f>Inputs!C242</f>
        <v>0</v>
      </c>
      <c r="D66" s="112">
        <f>$D$106</f>
        <v>0.30142857142857143</v>
      </c>
      <c r="E66" s="112" t="s">
        <v>1412</v>
      </c>
      <c r="F66" s="246">
        <f>C66*D66</f>
        <v>0</v>
      </c>
      <c r="G66" s="765" t="e">
        <f>F66*'Emission Factors'!$G$120</f>
        <v>#DIV/0!</v>
      </c>
      <c r="H66" s="766" t="e">
        <f>F66*'Emission Factors'!$H$120</f>
        <v>#DIV/0!</v>
      </c>
      <c r="I66" s="767" t="e">
        <f>F66*'Emission Factors'!$I$120</f>
        <v>#DIV/0!</v>
      </c>
      <c r="J66" s="877" t="e">
        <f>(G66*'Emission Factors'!$B$125)+H66+(I66*'Emission Factors'!$C$125)</f>
        <v>#DIV/0!</v>
      </c>
    </row>
    <row r="67" spans="2:10" s="4" customFormat="1" ht="83.25" customHeight="1" thickBot="1">
      <c r="B67" s="2035" t="s">
        <v>1406</v>
      </c>
      <c r="C67" s="1962"/>
      <c r="D67" s="1962"/>
      <c r="E67" s="1963"/>
    </row>
    <row r="68" spans="2:10" s="4" customFormat="1" ht="18.75" customHeight="1" thickBot="1">
      <c r="B68" s="1213"/>
      <c r="C68" s="1214"/>
      <c r="D68" s="1214"/>
      <c r="E68" s="1214"/>
    </row>
    <row r="69" spans="2:10" s="4" customFormat="1" ht="14.25" customHeight="1" thickBot="1">
      <c r="B69" s="1879" t="s">
        <v>1415</v>
      </c>
      <c r="C69" s="1880"/>
      <c r="D69" s="1880"/>
      <c r="E69" s="1880"/>
      <c r="F69" s="1880"/>
      <c r="G69" s="1880"/>
      <c r="H69" s="1880"/>
      <c r="I69" s="1880"/>
      <c r="J69" s="1885"/>
    </row>
    <row r="70" spans="2:10" s="4" customFormat="1" ht="40.15" thickBot="1">
      <c r="B70" s="220" t="s">
        <v>1416</v>
      </c>
      <c r="C70" s="68" t="s">
        <v>1391</v>
      </c>
      <c r="D70" s="68" t="s">
        <v>1410</v>
      </c>
      <c r="E70" s="68" t="s">
        <v>1392</v>
      </c>
      <c r="F70" s="68" t="s">
        <v>1171</v>
      </c>
      <c r="G70" s="68" t="s">
        <v>1395</v>
      </c>
      <c r="H70" s="68" t="s">
        <v>1396</v>
      </c>
      <c r="I70" s="70" t="s">
        <v>1397</v>
      </c>
      <c r="J70" s="1207" t="s">
        <v>1411</v>
      </c>
    </row>
    <row r="71" spans="2:10" s="4" customFormat="1">
      <c r="B71" s="222" t="s">
        <v>123</v>
      </c>
      <c r="C71" s="241">
        <f>Inputs!C247</f>
        <v>0</v>
      </c>
      <c r="D71" s="114"/>
      <c r="E71" s="241">
        <f>Inputs!D247</f>
        <v>0</v>
      </c>
      <c r="F71" s="114"/>
      <c r="G71" s="758">
        <f>E71*'Emission Factors'!$D$130</f>
        <v>0</v>
      </c>
      <c r="H71" s="759">
        <f>E71*'Emission Factors'!$E$130</f>
        <v>0</v>
      </c>
      <c r="I71" s="760">
        <f>E71*'Emission Factors'!$F$130</f>
        <v>0</v>
      </c>
      <c r="J71" s="760">
        <f>(G71*'Emission Factors'!$B$125)+H71+(I71*'Emission Factors'!$C$125)</f>
        <v>0</v>
      </c>
    </row>
    <row r="72" spans="2:10" s="4" customFormat="1">
      <c r="B72" s="109" t="s">
        <v>124</v>
      </c>
      <c r="C72" s="241">
        <f>Inputs!C248</f>
        <v>0</v>
      </c>
      <c r="D72" s="115"/>
      <c r="E72" s="241">
        <f>Inputs!D248</f>
        <v>0</v>
      </c>
      <c r="F72" s="115"/>
      <c r="G72" s="761">
        <f>E72*'Emission Factors'!$D$129</f>
        <v>0</v>
      </c>
      <c r="H72" s="762">
        <f>E72*'Emission Factors'!$E$129</f>
        <v>0</v>
      </c>
      <c r="I72" s="763">
        <f>E72*'Emission Factors'!$F$129</f>
        <v>0</v>
      </c>
      <c r="J72" s="764">
        <f>(G72*'Emission Factors'!$B$125)+H72+(I72*'Emission Factors'!$C$125)</f>
        <v>0</v>
      </c>
    </row>
    <row r="73" spans="2:10" s="4" customFormat="1">
      <c r="B73" s="109" t="s">
        <v>125</v>
      </c>
      <c r="C73" s="241">
        <f>Inputs!C249</f>
        <v>0</v>
      </c>
      <c r="D73" s="115"/>
      <c r="E73" s="241">
        <f>Inputs!D249</f>
        <v>0</v>
      </c>
      <c r="F73" s="115"/>
      <c r="G73" s="221">
        <f>E73*'Emission Factors'!$D$130</f>
        <v>0</v>
      </c>
      <c r="H73" s="241">
        <f>E73*'Emission Factors'!$E$130</f>
        <v>0</v>
      </c>
      <c r="I73" s="764">
        <f>E73*'Emission Factors'!$F$130</f>
        <v>0</v>
      </c>
      <c r="J73" s="764">
        <f>(G73*'Emission Factors'!$B$125)+H73+(I73*'Emission Factors'!$C$125)</f>
        <v>0</v>
      </c>
    </row>
    <row r="74" spans="2:10" s="4" customFormat="1">
      <c r="B74" s="109" t="s">
        <v>126</v>
      </c>
      <c r="C74" s="241">
        <f>Inputs!C250</f>
        <v>0</v>
      </c>
      <c r="D74" s="115"/>
      <c r="E74" s="241">
        <f>Inputs!D250</f>
        <v>0</v>
      </c>
      <c r="F74" s="115"/>
      <c r="G74" s="221">
        <f>E74*'Emission Factors'!$D$130</f>
        <v>0</v>
      </c>
      <c r="H74" s="241">
        <f>E74*'Emission Factors'!$E$130</f>
        <v>0</v>
      </c>
      <c r="I74" s="764">
        <f>E74*'Emission Factors'!$F$130</f>
        <v>0</v>
      </c>
      <c r="J74" s="764">
        <f>(G74*'Emission Factors'!$B$125)+H74+(I74*'Emission Factors'!$C$125)</f>
        <v>0</v>
      </c>
    </row>
    <row r="75" spans="2:10" s="4" customFormat="1">
      <c r="B75" s="1525" t="s">
        <v>127</v>
      </c>
      <c r="C75" s="241">
        <f>Inputs!C251</f>
        <v>0</v>
      </c>
      <c r="D75" s="1526"/>
      <c r="E75" s="241">
        <f>Inputs!D251</f>
        <v>0</v>
      </c>
      <c r="F75" s="1526"/>
      <c r="G75" s="221">
        <f>E75*'Emission Factors'!$D$130</f>
        <v>0</v>
      </c>
      <c r="H75" s="241">
        <f>E75*'Emission Factors'!$E$130</f>
        <v>0</v>
      </c>
      <c r="I75" s="764">
        <f>E75*'Emission Factors'!$F$130</f>
        <v>0</v>
      </c>
      <c r="J75" s="764">
        <f>(G75*'Emission Factors'!$B$125)+H75+(I75*'Emission Factors'!$C$125)</f>
        <v>0</v>
      </c>
    </row>
    <row r="76" spans="2:10" s="4" customFormat="1">
      <c r="B76" s="1525" t="s">
        <v>128</v>
      </c>
      <c r="C76" s="241">
        <f>Inputs!C252</f>
        <v>0</v>
      </c>
      <c r="D76" s="1526"/>
      <c r="E76" s="241">
        <f>Inputs!D252</f>
        <v>0</v>
      </c>
      <c r="F76" s="1526"/>
      <c r="G76" s="221">
        <f>E76*'Emission Factors'!$D$130</f>
        <v>0</v>
      </c>
      <c r="H76" s="241">
        <f>E76*'Emission Factors'!$E$130</f>
        <v>0</v>
      </c>
      <c r="I76" s="764">
        <f>E76*'Emission Factors'!$F$130</f>
        <v>0</v>
      </c>
      <c r="J76" s="764">
        <f>(G76*'Emission Factors'!$B$125)+H76+(I76*'Emission Factors'!$C$125)</f>
        <v>0</v>
      </c>
    </row>
    <row r="77" spans="2:10" s="4" customFormat="1">
      <c r="B77" s="1525" t="s">
        <v>129</v>
      </c>
      <c r="C77" s="241">
        <f>Inputs!C253</f>
        <v>0</v>
      </c>
      <c r="D77" s="1526"/>
      <c r="E77" s="241">
        <f>Inputs!D253</f>
        <v>0</v>
      </c>
      <c r="F77" s="1526"/>
      <c r="G77" s="221">
        <f>E77*'Emission Factors'!$D$130</f>
        <v>0</v>
      </c>
      <c r="H77" s="241">
        <f>E77*'Emission Factors'!$E$130</f>
        <v>0</v>
      </c>
      <c r="I77" s="764">
        <f>E77*'Emission Factors'!$F$130</f>
        <v>0</v>
      </c>
      <c r="J77" s="764">
        <f>(G77*'Emission Factors'!$B$125)+H77+(I77*'Emission Factors'!$C$125)</f>
        <v>0</v>
      </c>
    </row>
    <row r="78" spans="2:10" s="4" customFormat="1">
      <c r="B78" s="1525" t="s">
        <v>130</v>
      </c>
      <c r="C78" s="241">
        <f>Inputs!C254</f>
        <v>0</v>
      </c>
      <c r="D78" s="1526"/>
      <c r="E78" s="241">
        <f>Inputs!D254</f>
        <v>0</v>
      </c>
      <c r="F78" s="1526"/>
      <c r="G78" s="221">
        <f>E78*'Emission Factors'!$D$130</f>
        <v>0</v>
      </c>
      <c r="H78" s="241">
        <f>E78*'Emission Factors'!$E$130</f>
        <v>0</v>
      </c>
      <c r="I78" s="764">
        <f>E78*'Emission Factors'!$F$130</f>
        <v>0</v>
      </c>
      <c r="J78" s="764">
        <f>(G78*'Emission Factors'!$B$125)+H78+(I78*'Emission Factors'!$C$125)</f>
        <v>0</v>
      </c>
    </row>
    <row r="79" spans="2:10" s="4" customFormat="1">
      <c r="B79" s="1525" t="s">
        <v>131</v>
      </c>
      <c r="C79" s="241">
        <f>Inputs!C255</f>
        <v>0</v>
      </c>
      <c r="D79" s="1526"/>
      <c r="E79" s="241">
        <f>Inputs!D255</f>
        <v>0</v>
      </c>
      <c r="F79" s="1526"/>
      <c r="G79" s="221">
        <f>E79*'Emission Factors'!$D$130</f>
        <v>0</v>
      </c>
      <c r="H79" s="241">
        <f>E79*'Emission Factors'!$E$130</f>
        <v>0</v>
      </c>
      <c r="I79" s="764">
        <f>E79*'Emission Factors'!$F$130</f>
        <v>0</v>
      </c>
      <c r="J79" s="764">
        <f>(G79*'Emission Factors'!$B$125)+H79+(I79*'Emission Factors'!$C$125)</f>
        <v>0</v>
      </c>
    </row>
    <row r="80" spans="2:10" s="4" customFormat="1" ht="13.9" thickBot="1">
      <c r="B80" s="110" t="s">
        <v>132</v>
      </c>
      <c r="C80" s="244">
        <f>Inputs!C256</f>
        <v>0</v>
      </c>
      <c r="D80" s="112">
        <f>$D$106</f>
        <v>0.30142857142857143</v>
      </c>
      <c r="E80" s="112" t="s">
        <v>1412</v>
      </c>
      <c r="F80" s="246">
        <f>C80*D80</f>
        <v>0</v>
      </c>
      <c r="G80" s="765" t="e">
        <f>F80*'Emission Factors'!$G$120</f>
        <v>#DIV/0!</v>
      </c>
      <c r="H80" s="766" t="e">
        <f>F80*'Emission Factors'!$H$120</f>
        <v>#DIV/0!</v>
      </c>
      <c r="I80" s="767" t="e">
        <f>F80*'Emission Factors'!$I$120</f>
        <v>#DIV/0!</v>
      </c>
      <c r="J80" s="877" t="e">
        <f>(G80*'Emission Factors'!$B$125)+H80+(I80*'Emission Factors'!$C$125)</f>
        <v>#DIV/0!</v>
      </c>
    </row>
    <row r="81" spans="2:10" s="4" customFormat="1" ht="84" customHeight="1" thickBot="1">
      <c r="B81" s="2035" t="s">
        <v>1406</v>
      </c>
      <c r="C81" s="1962"/>
      <c r="D81" s="1962"/>
      <c r="E81" s="1963"/>
    </row>
    <row r="82" spans="2:10" s="4" customFormat="1" ht="13.9" thickBot="1">
      <c r="J82" s="6"/>
    </row>
    <row r="83" spans="2:10" s="4" customFormat="1" ht="14.25" customHeight="1" thickBot="1">
      <c r="B83" s="1879" t="s">
        <v>1417</v>
      </c>
      <c r="C83" s="1880"/>
      <c r="D83" s="1880"/>
      <c r="E83" s="1880"/>
      <c r="F83" s="1880"/>
      <c r="G83" s="1880"/>
      <c r="H83" s="1880"/>
      <c r="I83" s="1880"/>
      <c r="J83" s="1885"/>
    </row>
    <row r="84" spans="2:10" s="4" customFormat="1" ht="40.15" thickBot="1">
      <c r="B84" s="220" t="s">
        <v>1418</v>
      </c>
      <c r="C84" s="68" t="s">
        <v>1391</v>
      </c>
      <c r="D84" s="68" t="s">
        <v>1410</v>
      </c>
      <c r="E84" s="68" t="s">
        <v>1392</v>
      </c>
      <c r="F84" s="68" t="s">
        <v>1171</v>
      </c>
      <c r="G84" s="68" t="s">
        <v>1395</v>
      </c>
      <c r="H84" s="68" t="s">
        <v>1396</v>
      </c>
      <c r="I84" s="70" t="s">
        <v>1397</v>
      </c>
      <c r="J84" s="1207" t="s">
        <v>1411</v>
      </c>
    </row>
    <row r="85" spans="2:10" s="4" customFormat="1">
      <c r="B85" s="222" t="s">
        <v>123</v>
      </c>
      <c r="C85" s="241">
        <f>Inputs!C261</f>
        <v>0</v>
      </c>
      <c r="D85" s="114"/>
      <c r="E85" s="241">
        <f>Inputs!D261</f>
        <v>0</v>
      </c>
      <c r="F85" s="114"/>
      <c r="G85" s="758">
        <f>E85*'Emission Factors'!$D$130</f>
        <v>0</v>
      </c>
      <c r="H85" s="759">
        <f>E85*'Emission Factors'!$E$130</f>
        <v>0</v>
      </c>
      <c r="I85" s="760">
        <f>E85*'Emission Factors'!$F$130</f>
        <v>0</v>
      </c>
      <c r="J85" s="760">
        <f>(G85*'Emission Factors'!$B$125)+H85+(I85*'Emission Factors'!$C$125)</f>
        <v>0</v>
      </c>
    </row>
    <row r="86" spans="2:10" s="4" customFormat="1">
      <c r="B86" s="109" t="s">
        <v>124</v>
      </c>
      <c r="C86" s="241">
        <f>Inputs!C262</f>
        <v>0</v>
      </c>
      <c r="D86" s="115"/>
      <c r="E86" s="241">
        <f>Inputs!D262</f>
        <v>0</v>
      </c>
      <c r="F86" s="115"/>
      <c r="G86" s="761">
        <f>E86*'Emission Factors'!$D$129</f>
        <v>0</v>
      </c>
      <c r="H86" s="762">
        <f>E86*'Emission Factors'!$E$129</f>
        <v>0</v>
      </c>
      <c r="I86" s="763">
        <f>E86*'Emission Factors'!$F$129</f>
        <v>0</v>
      </c>
      <c r="J86" s="764">
        <f>(G86*'Emission Factors'!$B$125)+H86+(I86*'Emission Factors'!$C$125)</f>
        <v>0</v>
      </c>
    </row>
    <row r="87" spans="2:10" s="4" customFormat="1">
      <c r="B87" s="109" t="s">
        <v>125</v>
      </c>
      <c r="C87" s="241">
        <f>Inputs!C263</f>
        <v>0</v>
      </c>
      <c r="D87" s="115"/>
      <c r="E87" s="241">
        <f>Inputs!D263</f>
        <v>0</v>
      </c>
      <c r="F87" s="115"/>
      <c r="G87" s="221">
        <f>E87*'Emission Factors'!$D$130</f>
        <v>0</v>
      </c>
      <c r="H87" s="241">
        <f>E87*'Emission Factors'!$E$130</f>
        <v>0</v>
      </c>
      <c r="I87" s="764">
        <f>E87*'Emission Factors'!$F$130</f>
        <v>0</v>
      </c>
      <c r="J87" s="764">
        <f>(G87*'Emission Factors'!$B$125)+H87+(I87*'Emission Factors'!$C$125)</f>
        <v>0</v>
      </c>
    </row>
    <row r="88" spans="2:10" s="4" customFormat="1">
      <c r="B88" s="109" t="s">
        <v>126</v>
      </c>
      <c r="C88" s="241">
        <f>Inputs!C264</f>
        <v>0</v>
      </c>
      <c r="D88" s="115"/>
      <c r="E88" s="241">
        <f>Inputs!D264</f>
        <v>0</v>
      </c>
      <c r="F88" s="115"/>
      <c r="G88" s="221">
        <f>E88*'Emission Factors'!$D$130</f>
        <v>0</v>
      </c>
      <c r="H88" s="241">
        <f>E88*'Emission Factors'!$E$130</f>
        <v>0</v>
      </c>
      <c r="I88" s="764">
        <f>E88*'Emission Factors'!$F$130</f>
        <v>0</v>
      </c>
      <c r="J88" s="764">
        <f>(G88*'Emission Factors'!$B$125)+H88+(I88*'Emission Factors'!$C$125)</f>
        <v>0</v>
      </c>
    </row>
    <row r="89" spans="2:10" s="4" customFormat="1">
      <c r="B89" s="1525" t="s">
        <v>127</v>
      </c>
      <c r="C89" s="241">
        <f>Inputs!C265</f>
        <v>0</v>
      </c>
      <c r="D89" s="1526"/>
      <c r="E89" s="241">
        <f>Inputs!D265</f>
        <v>0</v>
      </c>
      <c r="F89" s="1526"/>
      <c r="G89" s="221">
        <f>E89*'Emission Factors'!$D$130</f>
        <v>0</v>
      </c>
      <c r="H89" s="241">
        <f>E89*'Emission Factors'!$E$130</f>
        <v>0</v>
      </c>
      <c r="I89" s="764">
        <f>E89*'Emission Factors'!$F$130</f>
        <v>0</v>
      </c>
      <c r="J89" s="764">
        <f>(G89*'Emission Factors'!$B$125)+H89+(I89*'Emission Factors'!$C$125)</f>
        <v>0</v>
      </c>
    </row>
    <row r="90" spans="2:10" s="4" customFormat="1">
      <c r="B90" s="1525" t="s">
        <v>128</v>
      </c>
      <c r="C90" s="241">
        <f>Inputs!C266</f>
        <v>0</v>
      </c>
      <c r="D90" s="1526"/>
      <c r="E90" s="241">
        <f>Inputs!D266</f>
        <v>0</v>
      </c>
      <c r="F90" s="1526"/>
      <c r="G90" s="221">
        <f>E90*'Emission Factors'!$D$130</f>
        <v>0</v>
      </c>
      <c r="H90" s="241">
        <f>E90*'Emission Factors'!$E$130</f>
        <v>0</v>
      </c>
      <c r="I90" s="764">
        <f>E90*'Emission Factors'!$F$130</f>
        <v>0</v>
      </c>
      <c r="J90" s="764">
        <f>(G90*'Emission Factors'!$B$125)+H90+(I90*'Emission Factors'!$C$125)</f>
        <v>0</v>
      </c>
    </row>
    <row r="91" spans="2:10" s="4" customFormat="1">
      <c r="B91" s="1525" t="s">
        <v>129</v>
      </c>
      <c r="C91" s="241">
        <f>Inputs!C267</f>
        <v>0</v>
      </c>
      <c r="D91" s="1526"/>
      <c r="E91" s="241">
        <f>Inputs!D267</f>
        <v>0</v>
      </c>
      <c r="F91" s="1526"/>
      <c r="G91" s="221">
        <f>E91*'Emission Factors'!$D$130</f>
        <v>0</v>
      </c>
      <c r="H91" s="241">
        <f>E91*'Emission Factors'!$E$130</f>
        <v>0</v>
      </c>
      <c r="I91" s="764">
        <f>E91*'Emission Factors'!$F$130</f>
        <v>0</v>
      </c>
      <c r="J91" s="764">
        <f>(G91*'Emission Factors'!$B$125)+H91+(I91*'Emission Factors'!$C$125)</f>
        <v>0</v>
      </c>
    </row>
    <row r="92" spans="2:10" s="4" customFormat="1">
      <c r="B92" s="1525" t="s">
        <v>130</v>
      </c>
      <c r="C92" s="241">
        <f>Inputs!C268</f>
        <v>0</v>
      </c>
      <c r="D92" s="1526"/>
      <c r="E92" s="241">
        <f>Inputs!D268</f>
        <v>0</v>
      </c>
      <c r="F92" s="1526"/>
      <c r="G92" s="221">
        <f>E92*'Emission Factors'!$D$130</f>
        <v>0</v>
      </c>
      <c r="H92" s="241">
        <f>E92*'Emission Factors'!$E$130</f>
        <v>0</v>
      </c>
      <c r="I92" s="764">
        <f>E92*'Emission Factors'!$F$130</f>
        <v>0</v>
      </c>
      <c r="J92" s="764">
        <f>(G92*'Emission Factors'!$B$125)+H92+(I92*'Emission Factors'!$C$125)</f>
        <v>0</v>
      </c>
    </row>
    <row r="93" spans="2:10" s="4" customFormat="1">
      <c r="B93" s="1525" t="s">
        <v>131</v>
      </c>
      <c r="C93" s="241">
        <f>Inputs!C269</f>
        <v>0</v>
      </c>
      <c r="D93" s="1526"/>
      <c r="E93" s="241">
        <f>Inputs!D269</f>
        <v>0</v>
      </c>
      <c r="F93" s="1526"/>
      <c r="G93" s="221">
        <f>E93*'Emission Factors'!$D$130</f>
        <v>0</v>
      </c>
      <c r="H93" s="241">
        <f>E93*'Emission Factors'!$E$130</f>
        <v>0</v>
      </c>
      <c r="I93" s="764">
        <f>E93*'Emission Factors'!$F$130</f>
        <v>0</v>
      </c>
      <c r="J93" s="764">
        <f>(G93*'Emission Factors'!$B$125)+H93+(I93*'Emission Factors'!$C$125)</f>
        <v>0</v>
      </c>
    </row>
    <row r="94" spans="2:10" s="4" customFormat="1" ht="13.9" thickBot="1">
      <c r="B94" s="110" t="s">
        <v>132</v>
      </c>
      <c r="C94" s="244">
        <f>Inputs!C270</f>
        <v>0</v>
      </c>
      <c r="D94" s="112">
        <f>$D$106</f>
        <v>0.30142857142857143</v>
      </c>
      <c r="E94" s="112" t="s">
        <v>1412</v>
      </c>
      <c r="F94" s="246">
        <f>C94*D94</f>
        <v>0</v>
      </c>
      <c r="G94" s="765" t="e">
        <f>F94*'Emission Factors'!$G$120</f>
        <v>#DIV/0!</v>
      </c>
      <c r="H94" s="766" t="e">
        <f>F94*'Emission Factors'!$H$120</f>
        <v>#DIV/0!</v>
      </c>
      <c r="I94" s="767" t="e">
        <f>F94*'Emission Factors'!$I$120</f>
        <v>#DIV/0!</v>
      </c>
      <c r="J94" s="877" t="e">
        <f>(G94*'Emission Factors'!$B$125)+H94+(I94*'Emission Factors'!$C$125)</f>
        <v>#DIV/0!</v>
      </c>
    </row>
    <row r="95" spans="2:10" s="4" customFormat="1" ht="84" customHeight="1" thickBot="1">
      <c r="B95" s="2035" t="s">
        <v>1406</v>
      </c>
      <c r="C95" s="1962"/>
      <c r="D95" s="1962"/>
      <c r="E95" s="1963"/>
    </row>
    <row r="96" spans="2:10" s="4" customFormat="1" ht="13.9" thickBot="1">
      <c r="J96" s="6"/>
    </row>
    <row r="97" spans="2:22" s="4" customFormat="1" ht="16.5" customHeight="1" thickBot="1">
      <c r="B97" s="1890" t="s">
        <v>1419</v>
      </c>
      <c r="C97" s="1891"/>
      <c r="D97" s="1891"/>
      <c r="E97" s="1892"/>
    </row>
    <row r="98" spans="2:22" s="4" customFormat="1" ht="30.75" customHeight="1">
      <c r="B98" s="1178" t="s">
        <v>308</v>
      </c>
      <c r="C98" s="1179" t="s">
        <v>309</v>
      </c>
      <c r="D98" s="1179" t="s">
        <v>311</v>
      </c>
      <c r="E98" s="1467" t="s">
        <v>1420</v>
      </c>
    </row>
    <row r="99" spans="2:22" s="4" customFormat="1">
      <c r="B99" s="337" t="str">
        <f>'Adjust Inventory Year'!B100</f>
        <v>Tesla</v>
      </c>
      <c r="C99" s="437" t="str">
        <f>'Adjust Inventory Year'!C100</f>
        <v>Model 3</v>
      </c>
      <c r="D99" s="1309">
        <f>'Adjust Inventory Year'!E100</f>
        <v>0.24</v>
      </c>
      <c r="E99" s="478" t="s">
        <v>1421</v>
      </c>
    </row>
    <row r="100" spans="2:22" s="4" customFormat="1">
      <c r="B100" s="337" t="str">
        <f>'Adjust Inventory Year'!B101</f>
        <v>Toyota</v>
      </c>
      <c r="C100" s="437" t="str">
        <f>'Adjust Inventory Year'!C101</f>
        <v>Prius Prime</v>
      </c>
      <c r="D100" s="1309">
        <f>'Adjust Inventory Year'!E101</f>
        <v>0.25</v>
      </c>
      <c r="E100" s="479" t="s">
        <v>1421</v>
      </c>
    </row>
    <row r="101" spans="2:22" s="4" customFormat="1">
      <c r="B101" s="337" t="str">
        <f>'Adjust Inventory Year'!B102</f>
        <v>Chevrolet</v>
      </c>
      <c r="C101" s="437" t="str">
        <f>'Adjust Inventory Year'!C102</f>
        <v>Bolt</v>
      </c>
      <c r="D101" s="1309">
        <f>'Adjust Inventory Year'!E102</f>
        <v>0.28000000000000003</v>
      </c>
      <c r="E101" s="478" t="s">
        <v>1421</v>
      </c>
    </row>
    <row r="102" spans="2:22" s="4" customFormat="1">
      <c r="B102" s="337" t="str">
        <f>'Adjust Inventory Year'!B103</f>
        <v>Toyota</v>
      </c>
      <c r="C102" s="437" t="str">
        <f>'Adjust Inventory Year'!C103</f>
        <v>Rav4 Prime</v>
      </c>
      <c r="D102" s="1309">
        <f>'Adjust Inventory Year'!E103</f>
        <v>0.36</v>
      </c>
      <c r="E102" s="479" t="s">
        <v>1421</v>
      </c>
    </row>
    <row r="103" spans="2:22" s="4" customFormat="1">
      <c r="B103" s="337" t="str">
        <f>'Adjust Inventory Year'!B104</f>
        <v>Chevrolet</v>
      </c>
      <c r="C103" s="437" t="str">
        <f>'Adjust Inventory Year'!C104</f>
        <v>Volt</v>
      </c>
      <c r="D103" s="1309">
        <f>'Adjust Inventory Year'!E104</f>
        <v>0.31</v>
      </c>
      <c r="E103" s="479" t="s">
        <v>1421</v>
      </c>
    </row>
    <row r="104" spans="2:22" s="4" customFormat="1">
      <c r="B104" s="337" t="str">
        <f>'Adjust Inventory Year'!B105</f>
        <v>Honda</v>
      </c>
      <c r="C104" s="437" t="str">
        <f>'Adjust Inventory Year'!C105</f>
        <v>Clarity PHEV</v>
      </c>
      <c r="D104" s="1309">
        <f>'Adjust Inventory Year'!E105</f>
        <v>0.3</v>
      </c>
      <c r="E104" s="479" t="s">
        <v>1421</v>
      </c>
    </row>
    <row r="105" spans="2:22" s="4" customFormat="1" ht="13.9" thickBot="1">
      <c r="B105" s="337" t="str">
        <f>'Adjust Inventory Year'!B106</f>
        <v>Tesla</v>
      </c>
      <c r="C105" s="437" t="str">
        <f>'Adjust Inventory Year'!C106</f>
        <v>Model X</v>
      </c>
      <c r="D105" s="1309">
        <f>'Adjust Inventory Year'!E106</f>
        <v>0.37</v>
      </c>
      <c r="E105" s="479" t="s">
        <v>1421</v>
      </c>
    </row>
    <row r="106" spans="2:22" s="4" customFormat="1" ht="13.9" thickBot="1">
      <c r="B106" s="2036" t="s">
        <v>1422</v>
      </c>
      <c r="C106" s="2037"/>
      <c r="D106" s="1529">
        <f>AVERAGE(D99:D105)</f>
        <v>0.30142857142857143</v>
      </c>
      <c r="E106" s="133"/>
    </row>
    <row r="107" spans="2:22" s="4" customFormat="1" ht="49.9" customHeight="1" thickBot="1">
      <c r="B107" s="1912" t="s">
        <v>1423</v>
      </c>
      <c r="C107" s="1927"/>
      <c r="D107" s="1927"/>
      <c r="E107" s="1667"/>
    </row>
    <row r="108" spans="2:22" s="4" customFormat="1" ht="13.9" thickBot="1"/>
    <row r="109" spans="2:22" s="4" customFormat="1" ht="14.25" customHeight="1" thickBot="1">
      <c r="B109" s="1879" t="s">
        <v>1424</v>
      </c>
      <c r="C109" s="1880"/>
      <c r="D109" s="1880"/>
      <c r="E109" s="1880"/>
      <c r="F109" s="1880"/>
      <c r="G109" s="1880"/>
      <c r="H109" s="1880"/>
      <c r="I109" s="1880"/>
      <c r="J109" s="1880"/>
      <c r="K109" s="1880"/>
      <c r="L109" s="1880"/>
      <c r="M109" s="1880"/>
      <c r="N109" s="1880"/>
      <c r="O109" s="1880"/>
      <c r="P109" s="1880"/>
      <c r="Q109" s="1880"/>
      <c r="R109" s="1880"/>
      <c r="S109" s="1880"/>
      <c r="T109" s="1880"/>
      <c r="U109" s="1880"/>
      <c r="V109" s="1885"/>
    </row>
    <row r="110" spans="2:22" s="4" customFormat="1" ht="15.75" customHeight="1" thickBot="1">
      <c r="B110" s="1995" t="s">
        <v>1425</v>
      </c>
      <c r="C110" s="1996"/>
      <c r="D110" s="1996"/>
      <c r="E110" s="1997"/>
      <c r="F110" s="1995" t="s">
        <v>1426</v>
      </c>
      <c r="G110" s="1996"/>
      <c r="H110" s="1996"/>
      <c r="I110" s="1996"/>
      <c r="J110" s="1996"/>
      <c r="K110" s="1997"/>
      <c r="L110" s="1995" t="s">
        <v>1427</v>
      </c>
      <c r="M110" s="1996"/>
      <c r="N110" s="1996"/>
      <c r="O110" s="1997"/>
      <c r="P110" s="1995" t="s">
        <v>1428</v>
      </c>
      <c r="Q110" s="1996"/>
      <c r="R110" s="1996"/>
      <c r="S110" s="1996"/>
      <c r="T110" s="1996"/>
      <c r="U110" s="1996"/>
      <c r="V110" s="1997"/>
    </row>
    <row r="111" spans="2:22" s="4" customFormat="1" ht="73.5" customHeight="1" thickBot="1">
      <c r="B111" s="77" t="s">
        <v>144</v>
      </c>
      <c r="C111" s="78" t="s">
        <v>1429</v>
      </c>
      <c r="D111" s="78" t="s">
        <v>1430</v>
      </c>
      <c r="E111" s="80" t="s">
        <v>1431</v>
      </c>
      <c r="F111" s="77" t="s">
        <v>1432</v>
      </c>
      <c r="G111" s="79" t="s">
        <v>1433</v>
      </c>
      <c r="H111" s="218" t="s">
        <v>1434</v>
      </c>
      <c r="I111" s="218" t="s">
        <v>1435</v>
      </c>
      <c r="J111" s="218" t="s">
        <v>1436</v>
      </c>
      <c r="K111" s="1467" t="s">
        <v>1437</v>
      </c>
      <c r="L111" s="1658" t="s">
        <v>335</v>
      </c>
      <c r="M111" s="1657" t="s">
        <v>1438</v>
      </c>
      <c r="N111" s="1636" t="s">
        <v>1439</v>
      </c>
      <c r="O111" s="1467" t="s">
        <v>1440</v>
      </c>
      <c r="P111" s="1656" t="s">
        <v>1441</v>
      </c>
      <c r="Q111" s="1658" t="s">
        <v>1442</v>
      </c>
      <c r="R111" s="1635" t="s">
        <v>1443</v>
      </c>
      <c r="S111" s="1657" t="s">
        <v>920</v>
      </c>
      <c r="T111" s="1657" t="s">
        <v>921</v>
      </c>
      <c r="U111" s="1636" t="s">
        <v>922</v>
      </c>
      <c r="V111" s="1467" t="s">
        <v>1012</v>
      </c>
    </row>
    <row r="112" spans="2:22" s="4" customFormat="1">
      <c r="B112" s="835" t="s">
        <v>1444</v>
      </c>
      <c r="C112" s="928">
        <f>'Adjust Inventory Year'!F111</f>
        <v>1337818.5641105401</v>
      </c>
      <c r="D112" s="836">
        <f>Inputs!C276</f>
        <v>0</v>
      </c>
      <c r="E112" s="837">
        <f>(D112/C112)</f>
        <v>0</v>
      </c>
      <c r="F112" s="932">
        <f>'Adjust Inventory Year'!C111</f>
        <v>260487.89137096499</v>
      </c>
      <c r="G112" s="241">
        <f>F112*E112</f>
        <v>0</v>
      </c>
      <c r="H112" s="866">
        <f>G112*'Emission Factors'!$D$129</f>
        <v>0</v>
      </c>
      <c r="I112" s="864">
        <f>G112*'Emission Factors'!$E$129</f>
        <v>0</v>
      </c>
      <c r="J112" s="864">
        <f>G112*'Emission Factors'!$F$129</f>
        <v>0</v>
      </c>
      <c r="K112" s="1212">
        <f>(H112*'Emission Factors'!$B$125)+I112+(J112*'Emission Factors'!$C$125)</f>
        <v>0</v>
      </c>
      <c r="L112" s="838"/>
      <c r="M112" s="839"/>
      <c r="N112" s="839"/>
      <c r="O112" s="840"/>
      <c r="P112" s="933">
        <f>'Adjust Inventory Year'!E111</f>
        <v>465.15480823868</v>
      </c>
      <c r="Q112" s="1148">
        <f>P112*1000</f>
        <v>465154.80823868001</v>
      </c>
      <c r="R112" s="841">
        <f>Q112*E112</f>
        <v>0</v>
      </c>
      <c r="S112" s="842">
        <f>R112*'Emission Factors'!$G$43</f>
        <v>0</v>
      </c>
      <c r="T112" s="843">
        <f>R112*'Emission Factors'!$H$43</f>
        <v>0</v>
      </c>
      <c r="U112" s="844">
        <f>R112*'Emission Factors'!$I$43</f>
        <v>0</v>
      </c>
      <c r="V112" s="1212">
        <f>(S112*'Emission Factors'!$B$125)+T112+(U112*'Emission Factors'!$C$125)</f>
        <v>0</v>
      </c>
    </row>
    <row r="113" spans="2:22" s="4" customFormat="1">
      <c r="B113" s="419" t="s">
        <v>147</v>
      </c>
      <c r="C113" s="929">
        <f>'Adjust Inventory Year'!F112</f>
        <v>82649</v>
      </c>
      <c r="D113" s="845">
        <f>Inputs!C277</f>
        <v>0</v>
      </c>
      <c r="E113" s="846">
        <f>D113/C113</f>
        <v>0</v>
      </c>
      <c r="F113" s="847"/>
      <c r="G113" s="848"/>
      <c r="H113" s="849"/>
      <c r="I113" s="849"/>
      <c r="J113" s="849"/>
      <c r="K113" s="850"/>
      <c r="L113" s="851"/>
      <c r="M113" s="852"/>
      <c r="N113" s="852"/>
      <c r="O113" s="853"/>
      <c r="P113" s="932">
        <f>'Adjust Inventory Year'!E112</f>
        <v>651.86211053499096</v>
      </c>
      <c r="Q113" s="1149">
        <f>P113*1000</f>
        <v>651862.1105349909</v>
      </c>
      <c r="R113" s="241">
        <f>Q113*E113</f>
        <v>0</v>
      </c>
      <c r="S113" s="854">
        <f>R113*'Emission Factors'!$G$43</f>
        <v>0</v>
      </c>
      <c r="T113" s="257">
        <f>R113*'Emission Factors'!$H$43</f>
        <v>0</v>
      </c>
      <c r="U113" s="855">
        <f>R113*'Emission Factors'!$I$43</f>
        <v>0</v>
      </c>
      <c r="V113" s="1212">
        <f>(S113*'Emission Factors'!$B$125)+T113+(U113*'Emission Factors'!$C$125)</f>
        <v>0</v>
      </c>
    </row>
    <row r="114" spans="2:22" s="4" customFormat="1" ht="13.9" thickBot="1">
      <c r="B114" s="833" t="s">
        <v>148</v>
      </c>
      <c r="C114" s="930">
        <f>'Adjust Inventory Year'!F113</f>
        <v>21499857.435889501</v>
      </c>
      <c r="D114" s="856">
        <f>Inputs!C278</f>
        <v>0</v>
      </c>
      <c r="E114" s="857">
        <f>D114/C114</f>
        <v>0</v>
      </c>
      <c r="F114" s="931">
        <f>'Adjust Inventory Year'!C113</f>
        <v>4379315.40862903</v>
      </c>
      <c r="G114" s="244">
        <f>F114*E114</f>
        <v>0</v>
      </c>
      <c r="H114" s="865">
        <f>G114*'Emission Factors'!$D$129</f>
        <v>0</v>
      </c>
      <c r="I114" s="858">
        <f>G114*'Emission Factors'!$E$129</f>
        <v>0</v>
      </c>
      <c r="J114" s="858">
        <f>G114*'Emission Factors'!$F$129</f>
        <v>0</v>
      </c>
      <c r="K114" s="1403">
        <f>(H114*'Emission Factors'!$B$125)+I114+(J114*'Emission Factors'!$C$125)</f>
        <v>0</v>
      </c>
      <c r="L114" s="931">
        <f>'Adjust Inventory Year'!D113</f>
        <v>200322.77</v>
      </c>
      <c r="M114" s="244">
        <f>L114*E114</f>
        <v>0</v>
      </c>
      <c r="N114" s="244">
        <f>M114*'Emission Factors'!$E$131</f>
        <v>0</v>
      </c>
      <c r="O114" s="859">
        <f>N114</f>
        <v>0</v>
      </c>
      <c r="P114" s="860"/>
      <c r="Q114" s="1147"/>
      <c r="R114" s="861"/>
      <c r="S114" s="861"/>
      <c r="T114" s="861"/>
      <c r="U114" s="862"/>
      <c r="V114" s="862"/>
    </row>
    <row r="115" spans="2:22" s="4" customFormat="1" ht="33" customHeight="1" thickBot="1">
      <c r="B115" s="2038" t="s">
        <v>1445</v>
      </c>
      <c r="C115" s="2039"/>
      <c r="D115" s="2039"/>
      <c r="E115" s="2040"/>
      <c r="F115" s="1659"/>
      <c r="H115" s="30"/>
      <c r="I115" s="30"/>
      <c r="J115" s="30"/>
      <c r="K115" s="30"/>
      <c r="L115" s="30"/>
      <c r="M115" s="30"/>
      <c r="N115" s="30"/>
    </row>
    <row r="116" spans="2:22" s="4" customFormat="1" ht="13.9" thickBot="1">
      <c r="B116" s="119"/>
      <c r="C116" s="119"/>
      <c r="D116" s="119"/>
      <c r="E116" s="119"/>
      <c r="I116" s="30"/>
      <c r="J116" s="30"/>
      <c r="K116" s="30"/>
      <c r="L116" s="30"/>
      <c r="M116" s="30"/>
    </row>
    <row r="117" spans="2:22" s="4" customFormat="1" ht="14.25" customHeight="1" thickBot="1">
      <c r="B117" s="1682" t="s">
        <v>1446</v>
      </c>
      <c r="C117" s="1860"/>
      <c r="D117" s="1860"/>
      <c r="E117" s="1860"/>
      <c r="F117" s="1860"/>
      <c r="G117" s="1860"/>
      <c r="H117" s="1860"/>
      <c r="I117" s="1683"/>
    </row>
    <row r="118" spans="2:22" s="4" customFormat="1" ht="48.75" customHeight="1">
      <c r="B118" s="1178" t="s">
        <v>1447</v>
      </c>
      <c r="C118" s="1179" t="s">
        <v>1448</v>
      </c>
      <c r="D118" s="1179" t="s">
        <v>1449</v>
      </c>
      <c r="E118" s="1179" t="s">
        <v>1157</v>
      </c>
      <c r="F118" s="231" t="s">
        <v>1395</v>
      </c>
      <c r="G118" s="231" t="s">
        <v>1396</v>
      </c>
      <c r="H118" s="231" t="s">
        <v>1397</v>
      </c>
      <c r="I118" s="1467" t="s">
        <v>1411</v>
      </c>
    </row>
    <row r="119" spans="2:22" s="4" customFormat="1">
      <c r="B119" s="337" t="s">
        <v>1444</v>
      </c>
      <c r="C119" s="338">
        <f>R112</f>
        <v>0</v>
      </c>
      <c r="D119" s="336">
        <f>'Stationary Energy - Buildings'!$F$212</f>
        <v>5.1644478842024062E-2</v>
      </c>
      <c r="E119" s="357">
        <f>D119*C119</f>
        <v>0</v>
      </c>
      <c r="F119" s="815">
        <f>E119*'Emission Factors'!$G$43</f>
        <v>0</v>
      </c>
      <c r="G119" s="816">
        <f>E119*'Emission Factors'!$H$43</f>
        <v>0</v>
      </c>
      <c r="H119" s="1211">
        <f>E119*'Emission Factors'!$I$43</f>
        <v>0</v>
      </c>
      <c r="I119" s="1212">
        <f>(F119*'Emission Factors'!$B$125)+G119+(H119*'Emission Factors'!$C$125)</f>
        <v>0</v>
      </c>
    </row>
    <row r="120" spans="2:22" s="4" customFormat="1">
      <c r="B120" s="337" t="s">
        <v>147</v>
      </c>
      <c r="C120" s="338">
        <f>R113</f>
        <v>0</v>
      </c>
      <c r="D120" s="336">
        <f>'Stationary Energy - Buildings'!$F$212</f>
        <v>5.1644478842024062E-2</v>
      </c>
      <c r="E120" s="357">
        <f>D120*C120</f>
        <v>0</v>
      </c>
      <c r="F120" s="815">
        <f>E120*'Emission Factors'!$G$43</f>
        <v>0</v>
      </c>
      <c r="G120" s="816">
        <f>E120*'Emission Factors'!$H$43</f>
        <v>0</v>
      </c>
      <c r="H120" s="1211">
        <f>E120*'Emission Factors'!$I$43</f>
        <v>0</v>
      </c>
      <c r="I120" s="1212">
        <f>(F120*'Emission Factors'!$B$125)+G120+(H120*'Emission Factors'!$C$125)</f>
        <v>0</v>
      </c>
    </row>
    <row r="121" spans="2:22" s="4" customFormat="1">
      <c r="B121" s="337" t="s">
        <v>1450</v>
      </c>
      <c r="C121" s="338">
        <f>F52</f>
        <v>0</v>
      </c>
      <c r="D121" s="336">
        <f>'Stationary Energy - Buildings'!$F$212</f>
        <v>5.1644478842024062E-2</v>
      </c>
      <c r="E121" s="357">
        <f>D121*C121</f>
        <v>0</v>
      </c>
      <c r="F121" s="1210">
        <f>E121*'Emission Factors'!$G$43</f>
        <v>0</v>
      </c>
      <c r="G121" s="816">
        <f>E121*'Emission Factors'!$H$43</f>
        <v>0</v>
      </c>
      <c r="H121" s="1211">
        <f>E121*'Emission Factors'!$I$43</f>
        <v>0</v>
      </c>
      <c r="I121" s="1212">
        <f>(F121*'Emission Factors'!$B$125)+G121+(H121*'Emission Factors'!$C$125)</f>
        <v>0</v>
      </c>
    </row>
    <row r="122" spans="2:22" s="4" customFormat="1">
      <c r="B122" s="337" t="s">
        <v>1451</v>
      </c>
      <c r="C122" s="338">
        <f>F66</f>
        <v>0</v>
      </c>
      <c r="D122" s="336">
        <f>'Stationary Energy - Buildings'!$F$212</f>
        <v>5.1644478842024062E-2</v>
      </c>
      <c r="E122" s="357">
        <f>D122*C122</f>
        <v>0</v>
      </c>
      <c r="F122" s="1210">
        <f>E122*'Emission Factors'!$G$43</f>
        <v>0</v>
      </c>
      <c r="G122" s="816">
        <f>E122*'Emission Factors'!$H$43</f>
        <v>0</v>
      </c>
      <c r="H122" s="1211">
        <f>E122*'Emission Factors'!$I$43</f>
        <v>0</v>
      </c>
      <c r="I122" s="1212">
        <f>(F122*'Emission Factors'!$B$125)+G122+(H122*'Emission Factors'!$C$125)</f>
        <v>0</v>
      </c>
    </row>
    <row r="123" spans="2:22" s="4" customFormat="1">
      <c r="B123" s="337" t="s">
        <v>136</v>
      </c>
      <c r="C123" s="338">
        <f>F80</f>
        <v>0</v>
      </c>
      <c r="D123" s="336">
        <f>'Stationary Energy - Buildings'!$F$212</f>
        <v>5.1644478842024062E-2</v>
      </c>
      <c r="E123" s="357">
        <f t="shared" ref="E123:E124" si="6">D123*C123</f>
        <v>0</v>
      </c>
      <c r="F123" s="1210">
        <f>E123*'Emission Factors'!$G$43</f>
        <v>0</v>
      </c>
      <c r="G123" s="816">
        <f>E123*'Emission Factors'!$H$43</f>
        <v>0</v>
      </c>
      <c r="H123" s="1211">
        <f>E123*'Emission Factors'!$I$43</f>
        <v>0</v>
      </c>
      <c r="I123" s="1212">
        <f>(F123*'Emission Factors'!$B$125)+G123+(H123*'Emission Factors'!$C$125)</f>
        <v>0</v>
      </c>
    </row>
    <row r="124" spans="2:22" s="4" customFormat="1" ht="13.9" thickBot="1">
      <c r="B124" s="477" t="s">
        <v>139</v>
      </c>
      <c r="C124" s="1655">
        <f>F94</f>
        <v>0</v>
      </c>
      <c r="D124" s="1649">
        <f>'Stationary Energy - Buildings'!$F$212</f>
        <v>5.1644478842024062E-2</v>
      </c>
      <c r="E124" s="1650">
        <f t="shared" si="6"/>
        <v>0</v>
      </c>
      <c r="F124" s="1651">
        <f>E124*'Emission Factors'!$G$43</f>
        <v>0</v>
      </c>
      <c r="G124" s="1652">
        <f>E124*'Emission Factors'!$H$43</f>
        <v>0</v>
      </c>
      <c r="H124" s="1653">
        <f>E124*'Emission Factors'!$I$43</f>
        <v>0</v>
      </c>
      <c r="I124" s="1403">
        <f>(F124*'Emission Factors'!$B$125)+G124+(H124*'Emission Factors'!$C$125)</f>
        <v>0</v>
      </c>
    </row>
    <row r="125" spans="2:22" s="4" customFormat="1" ht="13.9" thickBot="1">
      <c r="B125" s="1644" t="s">
        <v>1452</v>
      </c>
      <c r="C125" s="1646">
        <f>SUM(C121:C124)</f>
        <v>0</v>
      </c>
      <c r="D125" s="1654">
        <f>'Stationary Energy - Buildings'!$F$212</f>
        <v>5.1644478842024062E-2</v>
      </c>
      <c r="E125" s="1646">
        <f>SUM(E121:E124)</f>
        <v>0</v>
      </c>
      <c r="F125" s="1647">
        <f>SUM(F121:F124)</f>
        <v>0</v>
      </c>
      <c r="G125" s="1647">
        <f>SUM(G121:G124)</f>
        <v>0</v>
      </c>
      <c r="H125" s="1648">
        <f>SUM(H121:H124)</f>
        <v>0</v>
      </c>
      <c r="I125" s="1645">
        <f>SUM(I121:I124)</f>
        <v>0</v>
      </c>
    </row>
    <row r="126" spans="2:22" s="4" customFormat="1" ht="57.6" customHeight="1" thickBot="1">
      <c r="B126" s="2033" t="s">
        <v>1453</v>
      </c>
      <c r="C126" s="1962"/>
      <c r="D126" s="1962"/>
      <c r="E126" s="2034"/>
      <c r="F126" s="435" t="s">
        <v>1454</v>
      </c>
    </row>
    <row r="127" spans="2:22" s="4" customFormat="1"/>
    <row r="128" spans="2:22" s="4" customFormat="1" ht="16.5" customHeight="1"/>
    <row r="129" s="4" customFormat="1" ht="63.75" customHeigh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pans="2:5" s="4" customFormat="1"/>
    <row r="594" spans="2:5" s="4" customFormat="1"/>
    <row r="595" spans="2:5" s="4" customFormat="1"/>
    <row r="596" spans="2:5" s="4" customFormat="1"/>
    <row r="597" spans="2:5" s="4" customFormat="1"/>
    <row r="598" spans="2:5" s="4" customFormat="1"/>
    <row r="599" spans="2:5" s="4" customFormat="1"/>
    <row r="600" spans="2:5" s="4" customFormat="1">
      <c r="B600"/>
      <c r="C600"/>
      <c r="D600"/>
      <c r="E600"/>
    </row>
  </sheetData>
  <mergeCells count="31">
    <mergeCell ref="B55:J55"/>
    <mergeCell ref="B69:J69"/>
    <mergeCell ref="B81:E81"/>
    <mergeCell ref="B83:J83"/>
    <mergeCell ref="B95:E95"/>
    <mergeCell ref="B2:E2"/>
    <mergeCell ref="B6:E6"/>
    <mergeCell ref="C3:E3"/>
    <mergeCell ref="C4:E4"/>
    <mergeCell ref="B7:E7"/>
    <mergeCell ref="A8:F8"/>
    <mergeCell ref="B53:E53"/>
    <mergeCell ref="B39:E39"/>
    <mergeCell ref="B9:H9"/>
    <mergeCell ref="B17:D17"/>
    <mergeCell ref="B19:M19"/>
    <mergeCell ref="B41:J41"/>
    <mergeCell ref="B26:H26"/>
    <mergeCell ref="B24:E24"/>
    <mergeCell ref="B126:E126"/>
    <mergeCell ref="B67:E67"/>
    <mergeCell ref="B107:E107"/>
    <mergeCell ref="B106:C106"/>
    <mergeCell ref="B97:E97"/>
    <mergeCell ref="B109:V109"/>
    <mergeCell ref="F110:K110"/>
    <mergeCell ref="L110:O110"/>
    <mergeCell ref="P110:V110"/>
    <mergeCell ref="B117:I117"/>
    <mergeCell ref="B115:E115"/>
    <mergeCell ref="B110:E110"/>
  </mergeCells>
  <phoneticPr fontId="0" type="noConversion"/>
  <hyperlinks>
    <hyperlink ref="F126" r:id="rId1" display="EIA Massachusetts Electricity Profile 2014" xr:uid="{00000000-0004-0000-0D00-000000000000}"/>
    <hyperlink ref="E102" r:id="rId2" xr:uid="{00000000-0004-0000-0D00-000001000000}"/>
    <hyperlink ref="E101" r:id="rId3" xr:uid="{00000000-0004-0000-0D00-000002000000}"/>
    <hyperlink ref="E103" r:id="rId4" xr:uid="{00000000-0004-0000-0D00-000003000000}"/>
    <hyperlink ref="E104" r:id="rId5" xr:uid="{00000000-0004-0000-0D00-000004000000}"/>
    <hyperlink ref="E105" r:id="rId6" xr:uid="{00000000-0004-0000-0D00-000005000000}"/>
    <hyperlink ref="E100" r:id="rId7" xr:uid="{00000000-0004-0000-0D00-000006000000}"/>
    <hyperlink ref="E99" r:id="rId8" xr:uid="{00000000-0004-0000-0D00-000007000000}"/>
  </hyperlinks>
  <pageMargins left="0.75" right="0.75" top="1" bottom="1" header="0.5" footer="0.5"/>
  <pageSetup orientation="portrait" r:id="rId9"/>
  <headerFooter alignWithMargins="0"/>
  <ignoredErrors>
    <ignoredError sqref="D125" formula="1"/>
  </ignoredErrors>
  <drawing r:id="rId1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AW203"/>
  <sheetViews>
    <sheetView showGridLines="0" zoomScaleNormal="100" workbookViewId="0"/>
  </sheetViews>
  <sheetFormatPr defaultColWidth="9.140625" defaultRowHeight="13.15"/>
  <cols>
    <col min="1" max="1" width="2.85546875" style="4" customWidth="1"/>
    <col min="2" max="2" width="29.28515625" customWidth="1"/>
    <col min="3" max="3" width="25.28515625" customWidth="1"/>
    <col min="4" max="4" width="15.140625" customWidth="1"/>
    <col min="5" max="5" width="13.28515625" customWidth="1"/>
    <col min="6" max="6" width="15" customWidth="1"/>
    <col min="7" max="7" width="15.28515625" style="4" customWidth="1"/>
    <col min="8" max="8" width="14" style="4" customWidth="1"/>
    <col min="9" max="9" width="14.28515625" style="4" customWidth="1"/>
    <col min="10" max="16" width="15.28515625" style="4" customWidth="1"/>
    <col min="17" max="17" width="9.140625" style="4"/>
    <col min="18" max="18" width="10" style="4" bestFit="1" customWidth="1"/>
    <col min="19" max="49" width="9.140625" style="4"/>
  </cols>
  <sheetData>
    <row r="1" spans="2:16" ht="13.9" thickBot="1">
      <c r="B1" s="30"/>
      <c r="C1" s="30"/>
      <c r="D1" s="30"/>
      <c r="E1" s="30"/>
      <c r="F1" s="30"/>
      <c r="G1" s="30"/>
      <c r="H1" s="30"/>
    </row>
    <row r="2" spans="2:16" ht="20.25" customHeight="1" thickBot="1">
      <c r="B2" s="1988" t="s">
        <v>1455</v>
      </c>
      <c r="C2" s="2047"/>
      <c r="D2" s="2047"/>
      <c r="E2" s="1670"/>
      <c r="F2" s="30"/>
      <c r="G2" s="30"/>
      <c r="H2" s="30"/>
    </row>
    <row r="3" spans="2:16">
      <c r="B3" s="135" t="s">
        <v>373</v>
      </c>
      <c r="C3" s="1940" t="s">
        <v>385</v>
      </c>
      <c r="D3" s="1970"/>
      <c r="E3" s="1971"/>
      <c r="F3" s="30"/>
      <c r="G3" s="30"/>
      <c r="H3" s="30"/>
    </row>
    <row r="4" spans="2:16" ht="13.9" thickBot="1">
      <c r="B4" s="136" t="s">
        <v>1213</v>
      </c>
      <c r="C4" s="1972" t="s">
        <v>1381</v>
      </c>
      <c r="D4" s="1827"/>
      <c r="E4" s="1828"/>
      <c r="F4" s="30"/>
      <c r="G4" s="30"/>
      <c r="H4" s="30"/>
    </row>
    <row r="5" spans="2:16" ht="13.9" thickBot="1">
      <c r="B5" s="1456"/>
      <c r="C5" s="1456"/>
      <c r="D5" s="1456"/>
      <c r="E5" s="1456"/>
      <c r="F5" s="30"/>
      <c r="G5" s="30"/>
      <c r="H5" s="30"/>
    </row>
    <row r="6" spans="2:16" ht="15.75" customHeight="1" thickBot="1">
      <c r="B6" s="1664" t="s">
        <v>377</v>
      </c>
      <c r="C6" s="1665"/>
      <c r="D6" s="1665"/>
      <c r="E6" s="1665"/>
      <c r="F6" s="1665"/>
      <c r="G6" s="1666"/>
      <c r="H6" s="30"/>
    </row>
    <row r="7" spans="2:16" ht="71.45" customHeight="1" thickBot="1">
      <c r="B7" s="1994" t="s">
        <v>1456</v>
      </c>
      <c r="C7" s="1808"/>
      <c r="D7" s="1808"/>
      <c r="E7" s="1808"/>
      <c r="F7" s="1808"/>
      <c r="G7" s="1809"/>
      <c r="H7" s="30"/>
      <c r="K7" s="30"/>
    </row>
    <row r="8" spans="2:16" s="4" customFormat="1" ht="13.9" thickBot="1">
      <c r="B8" s="1456"/>
      <c r="C8" s="1456"/>
      <c r="D8" s="1456"/>
      <c r="E8" s="1456"/>
      <c r="F8" s="1456"/>
      <c r="G8" s="1456"/>
      <c r="H8" s="1456"/>
      <c r="I8" s="1456"/>
      <c r="J8" s="1456"/>
      <c r="K8" s="1456"/>
    </row>
    <row r="9" spans="2:16" s="4" customFormat="1" ht="16.5" customHeight="1" thickBot="1">
      <c r="B9" s="1664" t="s">
        <v>1457</v>
      </c>
      <c r="C9" s="1717"/>
      <c r="D9" s="1717"/>
      <c r="E9" s="1717"/>
      <c r="F9" s="1717"/>
      <c r="G9" s="1670"/>
      <c r="H9" s="1456"/>
      <c r="I9" s="1456"/>
      <c r="J9" s="1456"/>
    </row>
    <row r="10" spans="2:16" s="4" customFormat="1" ht="43.5" customHeight="1">
      <c r="B10" s="1178" t="s">
        <v>215</v>
      </c>
      <c r="C10" s="68" t="s">
        <v>1458</v>
      </c>
      <c r="D10" s="69" t="s">
        <v>919</v>
      </c>
      <c r="E10" s="252" t="s">
        <v>1376</v>
      </c>
      <c r="F10" s="252" t="s">
        <v>1377</v>
      </c>
      <c r="G10" s="251" t="s">
        <v>1378</v>
      </c>
      <c r="H10" s="1456"/>
      <c r="I10" s="1456"/>
      <c r="J10" s="1456"/>
      <c r="K10" s="1456"/>
      <c r="L10" s="1456"/>
    </row>
    <row r="11" spans="2:16" s="4" customFormat="1">
      <c r="B11" s="511" t="s">
        <v>291</v>
      </c>
      <c r="C11" s="1310">
        <f>'Transportation - Rail'!G25</f>
        <v>0</v>
      </c>
      <c r="D11" s="1311"/>
      <c r="E11" s="1312">
        <f>H25</f>
        <v>0</v>
      </c>
      <c r="F11" s="1313">
        <f>I25</f>
        <v>0</v>
      </c>
      <c r="G11" s="1314">
        <f>J25</f>
        <v>0</v>
      </c>
      <c r="H11" s="1456"/>
      <c r="I11" s="1456"/>
      <c r="J11" s="1456"/>
      <c r="K11" s="1456"/>
      <c r="L11" s="1456"/>
    </row>
    <row r="12" spans="2:16" s="4" customFormat="1">
      <c r="B12" s="255" t="s">
        <v>410</v>
      </c>
      <c r="C12" s="1043"/>
      <c r="D12" s="1044">
        <f>'Transportation - Rail'!M25</f>
        <v>0</v>
      </c>
      <c r="E12" s="1045">
        <f>N25</f>
        <v>0</v>
      </c>
      <c r="F12" s="1046">
        <f>O25</f>
        <v>0</v>
      </c>
      <c r="G12" s="1047">
        <f>P25</f>
        <v>0</v>
      </c>
      <c r="H12" s="1456"/>
      <c r="I12" s="1456"/>
      <c r="J12" s="1456"/>
      <c r="K12" s="1456"/>
      <c r="L12" s="1456"/>
    </row>
    <row r="13" spans="2:16" s="4" customFormat="1" ht="13.9" thickBot="1">
      <c r="B13" s="352" t="s">
        <v>1379</v>
      </c>
      <c r="C13" s="1424"/>
      <c r="D13" s="1315">
        <f>E34</f>
        <v>0</v>
      </c>
      <c r="E13" s="1316">
        <f>F34</f>
        <v>0</v>
      </c>
      <c r="F13" s="1317">
        <f>G34</f>
        <v>0</v>
      </c>
      <c r="G13" s="1425">
        <f>H34</f>
        <v>0</v>
      </c>
      <c r="H13" s="1456"/>
      <c r="I13" s="1456"/>
      <c r="J13" s="1456"/>
      <c r="K13" s="1456"/>
      <c r="L13" s="1456"/>
    </row>
    <row r="14" spans="2:16" s="4" customFormat="1" ht="13.9" thickBot="1">
      <c r="B14" s="2052" t="s">
        <v>1459</v>
      </c>
      <c r="C14" s="2053"/>
      <c r="D14" s="2054"/>
      <c r="E14" s="1048">
        <f>SUM(E11:E13)</f>
        <v>0</v>
      </c>
      <c r="F14" s="1049">
        <f>SUM(F11:F13)</f>
        <v>0</v>
      </c>
      <c r="G14" s="1050">
        <f>SUM(G11:G13)</f>
        <v>0</v>
      </c>
      <c r="H14" s="1456"/>
      <c r="I14" s="1456"/>
      <c r="J14" s="1456"/>
      <c r="K14" s="1456"/>
      <c r="L14" s="1456"/>
    </row>
    <row r="15" spans="2:16" s="4" customFormat="1" ht="13.9" thickBot="1">
      <c r="B15" s="1456"/>
      <c r="C15" s="1456"/>
      <c r="D15" s="1456"/>
      <c r="E15" s="1456"/>
      <c r="F15" s="1456"/>
      <c r="G15" s="1456"/>
      <c r="H15" s="1456"/>
      <c r="I15" s="1456"/>
      <c r="J15" s="1456"/>
      <c r="K15" s="1456"/>
      <c r="L15" s="1456"/>
    </row>
    <row r="16" spans="2:16" s="4" customFormat="1" ht="17.25" customHeight="1" thickBot="1">
      <c r="B16" s="1879" t="s">
        <v>1460</v>
      </c>
      <c r="C16" s="1880"/>
      <c r="D16" s="1880"/>
      <c r="E16" s="1880"/>
      <c r="F16" s="1880"/>
      <c r="G16" s="1880"/>
      <c r="H16" s="1880"/>
      <c r="I16" s="1880"/>
      <c r="J16" s="1880"/>
      <c r="K16" s="1880"/>
      <c r="L16" s="1880"/>
      <c r="M16" s="1880"/>
      <c r="N16" s="1880"/>
      <c r="O16" s="1880"/>
      <c r="P16" s="1885"/>
    </row>
    <row r="17" spans="2:16" s="4" customFormat="1" ht="15.75" customHeight="1" thickBot="1">
      <c r="B17" s="1995" t="s">
        <v>1425</v>
      </c>
      <c r="C17" s="2047"/>
      <c r="D17" s="2047"/>
      <c r="E17" s="2051"/>
      <c r="F17" s="1995" t="s">
        <v>1426</v>
      </c>
      <c r="G17" s="2047"/>
      <c r="H17" s="2047"/>
      <c r="I17" s="2047"/>
      <c r="J17" s="2051"/>
      <c r="K17" s="1995" t="s">
        <v>1428</v>
      </c>
      <c r="L17" s="1996"/>
      <c r="M17" s="1996"/>
      <c r="N17" s="1996"/>
      <c r="O17" s="1996"/>
      <c r="P17" s="1997"/>
    </row>
    <row r="18" spans="2:16" s="4" customFormat="1" ht="89.25" customHeight="1" thickBot="1">
      <c r="B18" s="77" t="s">
        <v>144</v>
      </c>
      <c r="C18" s="79" t="s">
        <v>1461</v>
      </c>
      <c r="D18" s="79" t="s">
        <v>1462</v>
      </c>
      <c r="E18" s="80" t="s">
        <v>1463</v>
      </c>
      <c r="F18" s="77" t="s">
        <v>1464</v>
      </c>
      <c r="G18" s="79" t="s">
        <v>1465</v>
      </c>
      <c r="H18" s="218" t="s">
        <v>1466</v>
      </c>
      <c r="I18" s="218" t="s">
        <v>1467</v>
      </c>
      <c r="J18" s="218" t="s">
        <v>1468</v>
      </c>
      <c r="K18" s="77" t="s">
        <v>1469</v>
      </c>
      <c r="L18" s="78" t="s">
        <v>1470</v>
      </c>
      <c r="M18" s="79" t="s">
        <v>1443</v>
      </c>
      <c r="N18" s="218" t="s">
        <v>1471</v>
      </c>
      <c r="O18" s="218" t="s">
        <v>1472</v>
      </c>
      <c r="P18" s="80" t="s">
        <v>1473</v>
      </c>
    </row>
    <row r="19" spans="2:16" s="4" customFormat="1">
      <c r="B19" s="823" t="s">
        <v>149</v>
      </c>
      <c r="C19" s="923">
        <f>'Adjust Inventory Year'!F114</f>
        <v>3375434.8858042601</v>
      </c>
      <c r="D19" s="824">
        <f>Inputs!C279</f>
        <v>0</v>
      </c>
      <c r="E19" s="825">
        <f t="shared" ref="E19:E24" si="0">D19/C19</f>
        <v>0</v>
      </c>
      <c r="F19" s="916"/>
      <c r="G19" s="917"/>
      <c r="H19" s="918"/>
      <c r="I19" s="918"/>
      <c r="J19" s="918"/>
      <c r="K19" s="926">
        <f>'Adjust Inventory Year'!E114</f>
        <v>26622.440787351301</v>
      </c>
      <c r="L19" s="1130">
        <f>K19*1000</f>
        <v>26622440.787351303</v>
      </c>
      <c r="M19" s="353">
        <f>L19*E19</f>
        <v>0</v>
      </c>
      <c r="N19" s="769">
        <f>M19*'Emission Factors'!$G$43</f>
        <v>0</v>
      </c>
      <c r="O19" s="353">
        <f>M19*'Emission Factors'!$H$43</f>
        <v>0</v>
      </c>
      <c r="P19" s="770">
        <f>M19*'Emission Factors'!$I$43</f>
        <v>0</v>
      </c>
    </row>
    <row r="20" spans="2:16" s="4" customFormat="1">
      <c r="B20" s="397" t="s">
        <v>150</v>
      </c>
      <c r="C20" s="924">
        <f>'Adjust Inventory Year'!F115</f>
        <v>5487367.1836473504</v>
      </c>
      <c r="D20" s="827">
        <f>Inputs!C280</f>
        <v>0</v>
      </c>
      <c r="E20" s="828">
        <f t="shared" si="0"/>
        <v>0</v>
      </c>
      <c r="F20" s="919"/>
      <c r="G20" s="920"/>
      <c r="H20" s="921"/>
      <c r="I20" s="921"/>
      <c r="J20" s="921"/>
      <c r="K20" s="927">
        <f>'Adjust Inventory Year'!E115</f>
        <v>43279.492233575897</v>
      </c>
      <c r="L20" s="1131">
        <f>K20*1000</f>
        <v>43279492.233575895</v>
      </c>
      <c r="M20" s="826">
        <f>L20*E20</f>
        <v>0</v>
      </c>
      <c r="N20" s="829">
        <f>M20*'Emission Factors'!$G$43</f>
        <v>0</v>
      </c>
      <c r="O20" s="826">
        <f>M20*'Emission Factors'!$H$43</f>
        <v>0</v>
      </c>
      <c r="P20" s="830">
        <f>M20*'Emission Factors'!$I$43</f>
        <v>0</v>
      </c>
    </row>
    <row r="21" spans="2:16" s="4" customFormat="1">
      <c r="B21" s="397" t="s">
        <v>151</v>
      </c>
      <c r="C21" s="924">
        <f>'Adjust Inventory Year'!F116</f>
        <v>10526960.9305484</v>
      </c>
      <c r="D21" s="827">
        <f>Inputs!C281</f>
        <v>0</v>
      </c>
      <c r="E21" s="828">
        <f t="shared" si="0"/>
        <v>0</v>
      </c>
      <c r="F21" s="919"/>
      <c r="G21" s="920"/>
      <c r="H21" s="921"/>
      <c r="I21" s="921"/>
      <c r="J21" s="921"/>
      <c r="K21" s="927">
        <f>'Adjust Inventory Year'!E116</f>
        <v>83027.344186943199</v>
      </c>
      <c r="L21" s="1131">
        <f>K21*1000</f>
        <v>83027344.186943203</v>
      </c>
      <c r="M21" s="826">
        <f>L21*E21</f>
        <v>0</v>
      </c>
      <c r="N21" s="829">
        <f>M21*'Emission Factors'!$G$43</f>
        <v>0</v>
      </c>
      <c r="O21" s="826">
        <f>M21*'Emission Factors'!$H$43</f>
        <v>0</v>
      </c>
      <c r="P21" s="830">
        <f>M21*'Emission Factors'!$I$43</f>
        <v>0</v>
      </c>
    </row>
    <row r="22" spans="2:16" s="4" customFormat="1">
      <c r="B22" s="397" t="s">
        <v>152</v>
      </c>
      <c r="C22" s="924">
        <f>'Adjust Inventory Year'!F117</f>
        <v>4899785.1466894802</v>
      </c>
      <c r="D22" s="827">
        <f>Inputs!C282</f>
        <v>0</v>
      </c>
      <c r="E22" s="828">
        <f t="shared" si="0"/>
        <v>0</v>
      </c>
      <c r="F22" s="919"/>
      <c r="G22" s="920"/>
      <c r="H22" s="921"/>
      <c r="I22" s="921"/>
      <c r="J22" s="921"/>
      <c r="K22" s="927">
        <f>'Adjust Inventory Year'!E117</f>
        <v>38645.165542099799</v>
      </c>
      <c r="L22" s="1131">
        <f>K22*1000</f>
        <v>38645165.542099796</v>
      </c>
      <c r="M22" s="826">
        <f>L22*E22</f>
        <v>0</v>
      </c>
      <c r="N22" s="829">
        <f>M22*'Emission Factors'!$G$43</f>
        <v>0</v>
      </c>
      <c r="O22" s="826">
        <f>M22*'Emission Factors'!$H$43</f>
        <v>0</v>
      </c>
      <c r="P22" s="830">
        <f>M22*'Emission Factors'!$I$43</f>
        <v>0</v>
      </c>
    </row>
    <row r="23" spans="2:16" s="4" customFormat="1">
      <c r="B23" s="1125" t="s">
        <v>153</v>
      </c>
      <c r="C23" s="924">
        <f>'Adjust Inventory Year'!F118</f>
        <v>382525.85331051401</v>
      </c>
      <c r="D23" s="1126">
        <f>Inputs!C283</f>
        <v>0</v>
      </c>
      <c r="E23" s="828">
        <f t="shared" si="0"/>
        <v>0</v>
      </c>
      <c r="F23" s="1127"/>
      <c r="G23" s="1128"/>
      <c r="H23" s="1129"/>
      <c r="I23" s="1129"/>
      <c r="J23" s="1129"/>
      <c r="K23" s="927">
        <f>'Adjust Inventory Year'!E118</f>
        <v>3017.02513125616</v>
      </c>
      <c r="L23" s="1131">
        <f>K23*1000</f>
        <v>3017025.1312561599</v>
      </c>
      <c r="M23" s="826">
        <f>L23*E23</f>
        <v>0</v>
      </c>
      <c r="N23" s="829">
        <f>M23*'Emission Factors'!$G$43</f>
        <v>0</v>
      </c>
      <c r="O23" s="826">
        <f>M23*'Emission Factors'!$H$43</f>
        <v>0</v>
      </c>
      <c r="P23" s="830">
        <f>M23*'Emission Factors'!$I$43</f>
        <v>0</v>
      </c>
    </row>
    <row r="24" spans="2:16" s="4" customFormat="1" ht="13.9" thickBot="1">
      <c r="B24" s="822" t="s">
        <v>154</v>
      </c>
      <c r="C24" s="924">
        <f>'Adjust Inventory Year'!F119</f>
        <v>23707249</v>
      </c>
      <c r="D24" s="1426">
        <f>Inputs!C284</f>
        <v>0</v>
      </c>
      <c r="E24" s="1427">
        <f t="shared" si="0"/>
        <v>0</v>
      </c>
      <c r="F24" s="925">
        <f>'Adjust Inventory Year'!C119</f>
        <v>13761972</v>
      </c>
      <c r="G24" s="1428">
        <f>F24*E24</f>
        <v>0</v>
      </c>
      <c r="H24" s="1318">
        <f>$G$24*'Emission Factors'!D129</f>
        <v>0</v>
      </c>
      <c r="I24" s="1319">
        <f>$G$24*'Emission Factors'!E129</f>
        <v>0</v>
      </c>
      <c r="J24" s="1318">
        <f>$G$24*'Emission Factors'!F129</f>
        <v>0</v>
      </c>
      <c r="K24" s="922"/>
      <c r="L24" s="1139"/>
      <c r="M24" s="1429"/>
      <c r="N24" s="1429"/>
      <c r="O24" s="1429"/>
      <c r="P24" s="1430"/>
    </row>
    <row r="25" spans="2:16" s="4" customFormat="1" ht="13.9" thickBot="1">
      <c r="B25" s="2055" t="s">
        <v>1474</v>
      </c>
      <c r="C25" s="2056"/>
      <c r="D25" s="2056"/>
      <c r="E25" s="2057"/>
      <c r="F25" s="128">
        <f t="shared" ref="F25:M25" si="1">SUM(F19:F24)</f>
        <v>13761972</v>
      </c>
      <c r="G25" s="129">
        <f t="shared" si="1"/>
        <v>0</v>
      </c>
      <c r="H25" s="253">
        <f t="shared" si="1"/>
        <v>0</v>
      </c>
      <c r="I25" s="129">
        <f t="shared" si="1"/>
        <v>0</v>
      </c>
      <c r="J25" s="253">
        <f t="shared" si="1"/>
        <v>0</v>
      </c>
      <c r="K25" s="128">
        <f t="shared" si="1"/>
        <v>194591.46788122636</v>
      </c>
      <c r="L25" s="1140">
        <f t="shared" si="1"/>
        <v>194591467.88122636</v>
      </c>
      <c r="M25" s="129">
        <f t="shared" si="1"/>
        <v>0</v>
      </c>
      <c r="N25" s="229">
        <f>SUM(N19:N22)</f>
        <v>0</v>
      </c>
      <c r="O25" s="228">
        <f>SUM(O19:O22)</f>
        <v>0</v>
      </c>
      <c r="P25" s="230">
        <f>SUM(P19:P22)</f>
        <v>0</v>
      </c>
    </row>
    <row r="26" spans="2:16" s="4" customFormat="1" ht="33" customHeight="1" thickBot="1">
      <c r="B26" s="2048" t="s">
        <v>1475</v>
      </c>
      <c r="C26" s="2049"/>
      <c r="D26" s="2049"/>
      <c r="E26" s="2050"/>
      <c r="J26" s="30"/>
      <c r="K26" s="30"/>
      <c r="L26" s="30"/>
      <c r="M26" s="30"/>
      <c r="N26" s="30"/>
    </row>
    <row r="27" spans="2:16" s="4" customFormat="1" ht="13.9" thickBot="1">
      <c r="J27" s="30"/>
      <c r="K27" s="30"/>
      <c r="L27" s="30"/>
      <c r="M27" s="30"/>
      <c r="N27" s="30"/>
    </row>
    <row r="28" spans="2:16" s="4" customFormat="1" ht="16.5" customHeight="1" thickBot="1">
      <c r="B28" s="1682" t="s">
        <v>1476</v>
      </c>
      <c r="C28" s="1715"/>
      <c r="D28" s="1715"/>
      <c r="E28" s="1715"/>
      <c r="F28" s="1717"/>
      <c r="G28" s="1717"/>
      <c r="H28" s="1670"/>
      <c r="I28" s="30"/>
      <c r="J28" s="30"/>
      <c r="K28" s="30"/>
      <c r="L28" s="30"/>
    </row>
    <row r="29" spans="2:16" s="4" customFormat="1" ht="39.6">
      <c r="B29" s="1178" t="s">
        <v>1477</v>
      </c>
      <c r="C29" s="1179" t="s">
        <v>1156</v>
      </c>
      <c r="D29" s="1179" t="s">
        <v>1478</v>
      </c>
      <c r="E29" s="1179" t="s">
        <v>1157</v>
      </c>
      <c r="F29" s="1179" t="s">
        <v>1479</v>
      </c>
      <c r="G29" s="1179" t="s">
        <v>1480</v>
      </c>
      <c r="H29" s="1467" t="s">
        <v>1481</v>
      </c>
      <c r="I29" s="30"/>
      <c r="J29" s="30"/>
      <c r="K29" s="30"/>
      <c r="L29" s="30"/>
      <c r="M29" s="30"/>
      <c r="N29" s="30"/>
      <c r="O29" s="30"/>
      <c r="P29" s="30"/>
    </row>
    <row r="30" spans="2:16" s="4" customFormat="1">
      <c r="B30" s="831" t="s">
        <v>149</v>
      </c>
      <c r="C30" s="122">
        <f>M19</f>
        <v>0</v>
      </c>
      <c r="D30" s="131">
        <f>'Stationary Energy - Buildings'!$F$212</f>
        <v>5.1644478842024062E-2</v>
      </c>
      <c r="E30" s="341">
        <f>D30*C30</f>
        <v>0</v>
      </c>
      <c r="F30" s="340">
        <f>E30*'Emission Factors'!$G$43</f>
        <v>0</v>
      </c>
      <c r="G30" s="341">
        <f>E30*'Emission Factors'!$H$43</f>
        <v>0</v>
      </c>
      <c r="H30" s="630">
        <f>E30*'Emission Factors'!$I$43</f>
        <v>0</v>
      </c>
      <c r="I30" s="30"/>
      <c r="J30" s="30"/>
      <c r="K30" s="30"/>
      <c r="L30" s="30"/>
      <c r="M30" s="30"/>
      <c r="N30" s="30"/>
      <c r="O30" s="30"/>
      <c r="P30" s="30"/>
    </row>
    <row r="31" spans="2:16" s="4" customFormat="1">
      <c r="B31" s="874" t="s">
        <v>150</v>
      </c>
      <c r="C31" s="124">
        <f>M20</f>
        <v>0</v>
      </c>
      <c r="D31" s="132">
        <f>'Stationary Energy - Buildings'!$F$212</f>
        <v>5.1644478842024062E-2</v>
      </c>
      <c r="E31" s="260">
        <f>D31*C31</f>
        <v>0</v>
      </c>
      <c r="F31" s="257">
        <f>E31*'Emission Factors'!$G$43</f>
        <v>0</v>
      </c>
      <c r="G31" s="260">
        <f>E31*'Emission Factors'!$H$43</f>
        <v>0</v>
      </c>
      <c r="H31" s="631">
        <f>E31*'Emission Factors'!$I$43</f>
        <v>0</v>
      </c>
      <c r="I31" s="30"/>
      <c r="J31" s="30"/>
      <c r="K31" s="30"/>
      <c r="L31" s="30"/>
      <c r="M31" s="30"/>
      <c r="N31" s="30"/>
      <c r="O31" s="30"/>
      <c r="P31" s="30"/>
    </row>
    <row r="32" spans="2:16" s="4" customFormat="1">
      <c r="B32" s="874" t="s">
        <v>151</v>
      </c>
      <c r="C32" s="124">
        <f>M21</f>
        <v>0</v>
      </c>
      <c r="D32" s="132">
        <f>'Stationary Energy - Buildings'!$F$212</f>
        <v>5.1644478842024062E-2</v>
      </c>
      <c r="E32" s="260">
        <f>D32*C32</f>
        <v>0</v>
      </c>
      <c r="F32" s="257">
        <f>E32*'Emission Factors'!$G$43</f>
        <v>0</v>
      </c>
      <c r="G32" s="260">
        <f>E32*'Emission Factors'!$H$43</f>
        <v>0</v>
      </c>
      <c r="H32" s="631">
        <f>E32*'Emission Factors'!$I$43</f>
        <v>0</v>
      </c>
      <c r="I32" s="30"/>
      <c r="J32" s="30"/>
      <c r="K32" s="30"/>
      <c r="L32" s="30"/>
      <c r="M32" s="30"/>
      <c r="N32" s="30"/>
      <c r="O32" s="30"/>
      <c r="P32" s="30"/>
    </row>
    <row r="33" spans="2:16" s="4" customFormat="1" ht="13.9" thickBot="1">
      <c r="B33" s="833" t="s">
        <v>152</v>
      </c>
      <c r="C33" s="875">
        <f>M22</f>
        <v>0</v>
      </c>
      <c r="D33" s="876">
        <f>'Stationary Energy - Buildings'!$F$212</f>
        <v>5.1644478842024062E-2</v>
      </c>
      <c r="E33" s="246">
        <f>D33*C33</f>
        <v>0</v>
      </c>
      <c r="F33" s="766">
        <f>E33*'Emission Factors'!$G$43</f>
        <v>0</v>
      </c>
      <c r="G33" s="246">
        <f>E33*'Emission Factors'!$H$43</f>
        <v>0</v>
      </c>
      <c r="H33" s="877">
        <f>E33*'Emission Factors'!$I$43</f>
        <v>0</v>
      </c>
      <c r="I33" s="30"/>
      <c r="J33" s="30"/>
      <c r="K33" s="30"/>
      <c r="L33" s="30"/>
      <c r="M33" s="30"/>
      <c r="N33" s="30"/>
      <c r="O33" s="30"/>
      <c r="P33" s="30"/>
    </row>
    <row r="34" spans="2:16" s="4" customFormat="1" ht="13.9" thickBot="1">
      <c r="B34" s="134" t="s">
        <v>1482</v>
      </c>
      <c r="C34" s="359">
        <f>SUM(C30:C33)</f>
        <v>0</v>
      </c>
      <c r="D34" s="871">
        <f>'Stationary Energy - Buildings'!F212</f>
        <v>5.1644478842024062E-2</v>
      </c>
      <c r="E34" s="872">
        <f>SUM(E30:E33)</f>
        <v>0</v>
      </c>
      <c r="F34" s="872">
        <f>SUM(F30:F33)</f>
        <v>0</v>
      </c>
      <c r="G34" s="872">
        <f>SUM(G30:G33)</f>
        <v>0</v>
      </c>
      <c r="H34" s="873">
        <f>SUM(H30:H33)</f>
        <v>0</v>
      </c>
      <c r="I34" s="30"/>
      <c r="J34" s="30"/>
      <c r="K34" s="30"/>
      <c r="L34" s="30"/>
      <c r="M34" s="30"/>
      <c r="N34" s="30"/>
      <c r="O34" s="30"/>
      <c r="P34" s="30"/>
    </row>
    <row r="35" spans="2:16" s="4" customFormat="1" ht="54" customHeight="1" thickBot="1">
      <c r="B35" s="2033" t="s">
        <v>1483</v>
      </c>
      <c r="C35" s="1962"/>
      <c r="D35" s="1962"/>
      <c r="E35" s="2034"/>
      <c r="F35" s="435" t="s">
        <v>1454</v>
      </c>
      <c r="H35" s="30"/>
      <c r="I35" s="30"/>
      <c r="J35" s="30"/>
      <c r="K35" s="30"/>
      <c r="L35" s="30"/>
      <c r="M35" s="30"/>
      <c r="N35" s="30"/>
      <c r="O35" s="30"/>
    </row>
    <row r="36" spans="2:16" s="4" customFormat="1">
      <c r="B36" s="30"/>
      <c r="C36" s="30"/>
      <c r="D36" s="30"/>
      <c r="E36" s="30"/>
      <c r="F36" s="30"/>
      <c r="G36" s="30"/>
      <c r="H36" s="30"/>
      <c r="I36" s="30"/>
      <c r="J36" s="30"/>
      <c r="K36" s="30"/>
      <c r="L36" s="30"/>
    </row>
    <row r="37" spans="2:16" s="4" customFormat="1">
      <c r="B37" s="30"/>
      <c r="C37" s="30"/>
      <c r="D37" s="30"/>
      <c r="E37" s="30"/>
      <c r="F37" s="30"/>
      <c r="G37" s="30"/>
      <c r="H37" s="30"/>
      <c r="I37" s="30"/>
      <c r="J37" s="30"/>
      <c r="K37" s="30"/>
      <c r="L37" s="30"/>
    </row>
    <row r="38" spans="2:16" s="4" customFormat="1">
      <c r="B38" s="30"/>
      <c r="C38" s="30"/>
      <c r="D38" s="30"/>
      <c r="E38" s="30"/>
      <c r="F38" s="30"/>
      <c r="G38" s="30"/>
      <c r="H38" s="30"/>
      <c r="I38" s="30"/>
      <c r="J38" s="30"/>
      <c r="K38" s="30"/>
      <c r="L38" s="30"/>
    </row>
    <row r="39" spans="2:16" s="4" customFormat="1">
      <c r="B39" s="30"/>
      <c r="C39" s="30"/>
      <c r="D39" s="30"/>
      <c r="E39" s="30"/>
      <c r="F39" s="30"/>
      <c r="G39" s="30"/>
      <c r="H39" s="30"/>
      <c r="I39" s="30"/>
      <c r="J39" s="30"/>
      <c r="K39" s="30"/>
      <c r="L39" s="30"/>
      <c r="M39" s="30"/>
    </row>
    <row r="40" spans="2:16" s="4" customFormat="1">
      <c r="B40" s="30"/>
      <c r="C40" s="30"/>
      <c r="D40" s="30"/>
      <c r="E40" s="30"/>
      <c r="F40" s="30"/>
      <c r="G40" s="30"/>
      <c r="H40" s="30"/>
      <c r="I40" s="30"/>
      <c r="J40" s="30"/>
      <c r="K40" s="30"/>
      <c r="L40" s="30"/>
      <c r="M40" s="30"/>
    </row>
    <row r="41" spans="2:16" s="4" customFormat="1">
      <c r="B41" s="30"/>
      <c r="C41" s="30"/>
      <c r="D41" s="30"/>
      <c r="E41" s="30"/>
      <c r="F41" s="30"/>
      <c r="G41" s="30"/>
      <c r="H41" s="30"/>
      <c r="I41" s="30"/>
      <c r="J41" s="30"/>
      <c r="K41" s="30"/>
      <c r="L41" s="30"/>
      <c r="M41" s="30"/>
    </row>
    <row r="42" spans="2:16" s="4" customFormat="1">
      <c r="B42" s="30"/>
      <c r="C42" s="30"/>
      <c r="D42" s="30"/>
      <c r="E42" s="30"/>
      <c r="F42" s="30"/>
      <c r="G42" s="30"/>
      <c r="H42" s="30"/>
      <c r="I42" s="30"/>
      <c r="J42" s="30"/>
      <c r="K42" s="30"/>
      <c r="L42" s="30"/>
      <c r="M42" s="30"/>
    </row>
    <row r="43" spans="2:16" s="4" customFormat="1">
      <c r="B43" s="30"/>
      <c r="C43" s="30"/>
      <c r="D43" s="30"/>
      <c r="E43" s="30"/>
      <c r="F43" s="30"/>
      <c r="G43" s="30"/>
      <c r="H43" s="30"/>
      <c r="I43" s="30"/>
      <c r="J43" s="30"/>
      <c r="K43" s="30"/>
      <c r="L43" s="30"/>
      <c r="M43" s="30"/>
    </row>
    <row r="44" spans="2:16" s="4" customFormat="1">
      <c r="B44" s="30"/>
      <c r="C44" s="30"/>
      <c r="D44" s="30"/>
      <c r="E44" s="30"/>
      <c r="F44" s="30"/>
      <c r="G44" s="30"/>
      <c r="H44" s="30"/>
      <c r="I44" s="30"/>
      <c r="J44" s="30"/>
      <c r="K44" s="30"/>
      <c r="L44" s="30"/>
      <c r="M44" s="30"/>
    </row>
    <row r="45" spans="2:16" s="4" customFormat="1">
      <c r="B45" s="30"/>
      <c r="C45" s="30"/>
      <c r="D45" s="30"/>
      <c r="E45" s="30"/>
      <c r="F45" s="30"/>
      <c r="G45" s="30"/>
      <c r="H45" s="30"/>
      <c r="I45" s="30"/>
      <c r="J45" s="30"/>
      <c r="K45" s="30"/>
      <c r="L45" s="30"/>
      <c r="M45" s="30"/>
    </row>
    <row r="46" spans="2:16" s="4" customFormat="1">
      <c r="B46" s="30"/>
      <c r="C46" s="30"/>
      <c r="D46" s="30"/>
      <c r="E46" s="30"/>
      <c r="F46" s="30"/>
      <c r="G46" s="30"/>
      <c r="H46" s="30"/>
      <c r="I46" s="30"/>
      <c r="J46" s="30"/>
      <c r="K46" s="30"/>
      <c r="L46" s="30"/>
      <c r="M46" s="30"/>
    </row>
    <row r="47" spans="2:16" s="4" customFormat="1">
      <c r="B47" s="30"/>
      <c r="C47" s="30"/>
      <c r="D47" s="30"/>
      <c r="E47" s="30"/>
      <c r="F47" s="30"/>
      <c r="G47" s="30"/>
      <c r="H47" s="30"/>
      <c r="I47" s="30"/>
      <c r="J47" s="30"/>
      <c r="K47" s="30"/>
      <c r="L47" s="30"/>
      <c r="M47" s="30"/>
    </row>
    <row r="48" spans="2:16" s="4" customFormat="1">
      <c r="B48" s="30"/>
      <c r="C48" s="30"/>
      <c r="D48" s="30"/>
      <c r="E48" s="30"/>
      <c r="F48" s="30"/>
      <c r="G48" s="30"/>
      <c r="H48" s="30"/>
      <c r="I48" s="30"/>
      <c r="J48" s="30"/>
      <c r="K48" s="30"/>
      <c r="L48" s="30"/>
      <c r="M48" s="30"/>
    </row>
    <row r="49" spans="2:13" s="4" customFormat="1">
      <c r="B49" s="30"/>
      <c r="C49" s="30"/>
      <c r="D49" s="30"/>
      <c r="E49" s="30"/>
      <c r="F49" s="30"/>
      <c r="G49" s="30"/>
      <c r="H49" s="30"/>
      <c r="I49" s="30"/>
      <c r="J49" s="30"/>
      <c r="K49" s="30"/>
      <c r="L49" s="30"/>
      <c r="M49" s="30"/>
    </row>
    <row r="50" spans="2:13" s="4" customFormat="1">
      <c r="B50" s="30"/>
      <c r="C50" s="30"/>
      <c r="D50" s="30"/>
      <c r="E50" s="30"/>
      <c r="F50" s="30"/>
      <c r="G50" s="30"/>
      <c r="H50" s="30"/>
      <c r="I50" s="30"/>
      <c r="J50" s="30"/>
      <c r="K50" s="30"/>
      <c r="L50" s="30"/>
      <c r="M50" s="30"/>
    </row>
    <row r="51" spans="2:13" s="4" customFormat="1"/>
    <row r="52" spans="2:13" s="4" customFormat="1"/>
    <row r="53" spans="2:13" s="4" customFormat="1"/>
    <row r="54" spans="2:13" s="4" customFormat="1"/>
    <row r="55" spans="2:13" s="4" customFormat="1"/>
    <row r="56" spans="2:13" s="4" customFormat="1"/>
    <row r="57" spans="2:13" s="4" customFormat="1"/>
    <row r="58" spans="2:13" s="4" customFormat="1"/>
    <row r="59" spans="2:13" s="4" customFormat="1"/>
    <row r="60" spans="2:13" s="4" customFormat="1"/>
    <row r="61" spans="2:13" s="4" customFormat="1"/>
    <row r="62" spans="2:13" s="4" customFormat="1"/>
    <row r="63" spans="2:13" s="4" customFormat="1"/>
    <row r="64" spans="2:13" s="4" customFormat="1"/>
    <row r="65" s="4" customFormat="1"/>
    <row r="66" s="4" customFormat="1"/>
    <row r="67" s="4" customFormat="1"/>
    <row r="68" s="4" customFormat="1"/>
    <row r="69" s="4" customFormat="1"/>
    <row r="70" s="4" customFormat="1"/>
    <row r="71" s="4" customFormat="1"/>
    <row r="72" s="4" customFormat="1"/>
    <row r="73" s="4" customFormat="1"/>
    <row r="74" s="4" customFormat="1"/>
    <row r="75" s="4" customFormat="1"/>
    <row r="76" s="4" customFormat="1"/>
    <row r="77" s="4" customFormat="1"/>
    <row r="78" s="4" customFormat="1"/>
    <row r="79" s="4" customFormat="1"/>
    <row r="80" s="4" customFormat="1"/>
    <row r="81" s="4" customForma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sheetData>
  <mergeCells count="15">
    <mergeCell ref="B14:D14"/>
    <mergeCell ref="B25:E25"/>
    <mergeCell ref="B9:G9"/>
    <mergeCell ref="K17:P17"/>
    <mergeCell ref="B16:P16"/>
    <mergeCell ref="B26:E26"/>
    <mergeCell ref="B17:E17"/>
    <mergeCell ref="B35:E35"/>
    <mergeCell ref="B28:H28"/>
    <mergeCell ref="F17:J17"/>
    <mergeCell ref="B6:G6"/>
    <mergeCell ref="B7:G7"/>
    <mergeCell ref="C3:E3"/>
    <mergeCell ref="C4:E4"/>
    <mergeCell ref="B2:E2"/>
  </mergeCells>
  <hyperlinks>
    <hyperlink ref="F35" r:id="rId1" display="EIA Massachusetts Electricity Profile 2014" xr:uid="{AE5D2CB2-78C7-42C2-9144-69EA9F3DB65A}"/>
  </hyperlinks>
  <pageMargins left="0.75" right="0.75" top="1" bottom="1" header="0.5" footer="0.5"/>
  <pageSetup orientation="portrait" r:id="rId2"/>
  <headerFooter alignWithMargins="0"/>
  <ignoredErrors>
    <ignoredError sqref="D34" formula="1"/>
  </ignoredError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A1:K17"/>
  <sheetViews>
    <sheetView showGridLines="0" zoomScaleNormal="100" workbookViewId="0">
      <selection activeCell="G6" sqref="G6"/>
    </sheetView>
  </sheetViews>
  <sheetFormatPr defaultColWidth="9.140625" defaultRowHeight="13.15"/>
  <cols>
    <col min="1" max="1" width="2.85546875" style="4" customWidth="1"/>
    <col min="2" max="2" width="38.28515625" style="4" customWidth="1"/>
    <col min="3" max="8" width="18.140625" style="4" customWidth="1"/>
    <col min="9" max="9" width="14.42578125" style="4" customWidth="1"/>
    <col min="10" max="10" width="18.85546875" style="4" customWidth="1"/>
    <col min="11" max="11" width="16.28515625" style="4" customWidth="1"/>
    <col min="12" max="12" width="10.28515625" style="4" bestFit="1" customWidth="1"/>
    <col min="13" max="13" width="16.5703125" style="4" bestFit="1" customWidth="1"/>
    <col min="14" max="14" width="12.28515625" style="4" bestFit="1" customWidth="1"/>
    <col min="15" max="16384" width="9.140625" style="4"/>
  </cols>
  <sheetData>
    <row r="1" spans="1:11" ht="13.9" thickBot="1">
      <c r="B1" s="1918"/>
      <c r="C1" s="1918"/>
      <c r="D1" s="1918"/>
      <c r="E1" s="1918"/>
      <c r="F1" s="1918"/>
      <c r="G1" s="1918"/>
      <c r="H1" s="1918"/>
      <c r="I1" s="1918"/>
      <c r="J1" s="1918"/>
    </row>
    <row r="2" spans="1:11" ht="21" customHeight="1" thickBot="1">
      <c r="B2" s="1988" t="s">
        <v>1484</v>
      </c>
      <c r="C2" s="2047"/>
      <c r="D2" s="2047"/>
      <c r="E2" s="1670"/>
      <c r="G2" s="198"/>
      <c r="H2" s="1456"/>
      <c r="I2" s="1456"/>
      <c r="J2" s="1456"/>
    </row>
    <row r="3" spans="1:11">
      <c r="B3" s="135" t="s">
        <v>373</v>
      </c>
      <c r="C3" s="1940" t="s">
        <v>386</v>
      </c>
      <c r="D3" s="1970"/>
      <c r="E3" s="1971"/>
      <c r="F3" s="1456"/>
      <c r="G3" s="1456"/>
      <c r="H3" s="1456"/>
      <c r="I3" s="1456"/>
      <c r="J3" s="1456"/>
    </row>
    <row r="4" spans="1:11" ht="13.9" thickBot="1">
      <c r="B4" s="136" t="s">
        <v>998</v>
      </c>
      <c r="C4" s="1972" t="s">
        <v>1485</v>
      </c>
      <c r="D4" s="1827"/>
      <c r="E4" s="1828"/>
      <c r="F4" s="1456"/>
      <c r="G4" s="1456"/>
      <c r="H4" s="1456"/>
      <c r="I4" s="1456"/>
      <c r="J4" s="1456"/>
    </row>
    <row r="5" spans="1:11" ht="13.9" thickBot="1">
      <c r="B5" s="1456"/>
      <c r="C5" s="1456"/>
      <c r="D5" s="1456"/>
      <c r="E5" s="1456"/>
      <c r="F5" s="1456"/>
      <c r="G5" s="1456"/>
      <c r="H5" s="1456"/>
      <c r="I5" s="1456"/>
      <c r="J5" s="1456"/>
    </row>
    <row r="6" spans="1:11" ht="14.45" thickBot="1">
      <c r="B6" s="1664" t="s">
        <v>377</v>
      </c>
      <c r="C6" s="1665"/>
      <c r="D6" s="1665"/>
      <c r="E6" s="1665"/>
      <c r="F6" s="1667"/>
      <c r="G6" s="1456"/>
      <c r="H6" s="1456"/>
      <c r="I6" s="1456"/>
      <c r="J6" s="1456"/>
    </row>
    <row r="7" spans="1:11" ht="71.45" customHeight="1" thickBot="1">
      <c r="B7" s="1807" t="s">
        <v>1486</v>
      </c>
      <c r="C7" s="1808"/>
      <c r="D7" s="1808"/>
      <c r="E7" s="1808"/>
      <c r="F7" s="1963"/>
      <c r="G7" s="1456"/>
      <c r="H7" s="1456"/>
      <c r="I7" s="1456"/>
      <c r="J7" s="1456"/>
    </row>
    <row r="8" spans="1:11" ht="13.9" thickBot="1">
      <c r="B8" s="1456"/>
      <c r="C8" s="1456"/>
      <c r="D8" s="1456"/>
      <c r="E8" s="1456"/>
      <c r="F8" s="1456"/>
      <c r="G8" s="1456"/>
      <c r="H8" s="1456"/>
      <c r="I8" s="1456"/>
      <c r="J8" s="1456"/>
    </row>
    <row r="9" spans="1:11" ht="18" customHeight="1" thickBot="1">
      <c r="B9" s="1664" t="s">
        <v>1487</v>
      </c>
      <c r="C9" s="1927"/>
      <c r="D9" s="1927"/>
      <c r="E9" s="1927"/>
      <c r="F9" s="1927"/>
      <c r="G9" s="1927"/>
      <c r="H9" s="1927"/>
      <c r="I9" s="1667"/>
    </row>
    <row r="10" spans="1:11" ht="63" customHeight="1">
      <c r="B10" s="91" t="s">
        <v>396</v>
      </c>
      <c r="C10" s="87" t="s">
        <v>1488</v>
      </c>
      <c r="D10" s="87" t="s">
        <v>1489</v>
      </c>
      <c r="E10" s="54" t="s">
        <v>1490</v>
      </c>
      <c r="F10" s="130" t="s">
        <v>1491</v>
      </c>
      <c r="G10" s="54" t="s">
        <v>1395</v>
      </c>
      <c r="H10" s="54" t="s">
        <v>1396</v>
      </c>
      <c r="I10" s="55" t="s">
        <v>1397</v>
      </c>
      <c r="J10" s="1456"/>
      <c r="K10" s="1456"/>
    </row>
    <row r="11" spans="1:11">
      <c r="A11" s="30"/>
      <c r="B11" s="310" t="s">
        <v>418</v>
      </c>
      <c r="C11" s="309">
        <f>'Waste-Solid Waste Disposal'!C78</f>
        <v>3345.4247626325223</v>
      </c>
      <c r="D11" s="497"/>
      <c r="E11" s="289"/>
      <c r="F11" s="287"/>
      <c r="G11" s="309">
        <f>'Waste-Solid Waste Disposal'!G12</f>
        <v>27.470686588593114</v>
      </c>
      <c r="H11" s="288"/>
      <c r="I11" s="308"/>
      <c r="J11" s="1456"/>
      <c r="K11" s="1456"/>
    </row>
    <row r="12" spans="1:11">
      <c r="A12" s="30"/>
      <c r="B12" s="495" t="s">
        <v>402</v>
      </c>
      <c r="C12" s="497"/>
      <c r="D12" s="497"/>
      <c r="E12" s="501">
        <f>'Waste-Biological Treatment'!B11*'Waste-Biological Treatment'!C11</f>
        <v>0</v>
      </c>
      <c r="F12" s="502">
        <f>'Waste-Biological Treatment'!B11*'Waste-Biological Treatment'!D11</f>
        <v>0</v>
      </c>
      <c r="G12" s="496">
        <f>'Waste-Biological Treatment'!H18</f>
        <v>0</v>
      </c>
      <c r="H12" s="499"/>
      <c r="I12" s="795">
        <f>'Waste-Biological Treatment'!I18</f>
        <v>0</v>
      </c>
      <c r="J12" s="1456"/>
      <c r="K12" s="1456"/>
    </row>
    <row r="13" spans="1:11">
      <c r="A13" s="30"/>
      <c r="B13" s="307" t="s">
        <v>403</v>
      </c>
      <c r="C13" s="293"/>
      <c r="D13" s="306">
        <f>'Waste-Incineration'!D22</f>
        <v>30040.548888945101</v>
      </c>
      <c r="E13" s="497"/>
      <c r="F13" s="498"/>
      <c r="G13" s="360">
        <f>'Waste-Incineration'!B11</f>
        <v>3.7825083403830845E-3</v>
      </c>
      <c r="H13" s="306">
        <f>'Waste-Incineration'!C11</f>
        <v>463.22699005570087</v>
      </c>
      <c r="I13" s="292">
        <f>'Waste-Incineration'!D11</f>
        <v>0.94562708509577109</v>
      </c>
      <c r="J13" s="1456"/>
      <c r="K13" s="1456"/>
    </row>
    <row r="14" spans="1:11" ht="15.6">
      <c r="A14" s="30"/>
      <c r="B14" s="305" t="s">
        <v>1492</v>
      </c>
      <c r="C14" s="304"/>
      <c r="D14" s="304"/>
      <c r="E14" s="304"/>
      <c r="F14" s="500"/>
      <c r="G14" s="794">
        <f>'Waste-Wastewater'!B11</f>
        <v>0</v>
      </c>
      <c r="H14" s="303"/>
      <c r="I14" s="302">
        <f>'Waste-Wastewater'!C11</f>
        <v>1.4818799999999999</v>
      </c>
      <c r="J14" s="1456"/>
      <c r="K14" s="1456"/>
    </row>
    <row r="15" spans="1:11" ht="13.9" thickBot="1">
      <c r="B15" s="2058" t="s">
        <v>1493</v>
      </c>
      <c r="C15" s="2059"/>
      <c r="D15" s="2059"/>
      <c r="E15" s="2059"/>
      <c r="F15" s="2060"/>
      <c r="G15" s="294">
        <f>SUM(G11:G14)</f>
        <v>27.474469096933497</v>
      </c>
      <c r="H15" s="294">
        <f>SUM(H11:H14)</f>
        <v>463.22699005570087</v>
      </c>
      <c r="I15" s="296">
        <f>SUM(I11:I14)</f>
        <v>2.4275070850957707</v>
      </c>
      <c r="J15" s="1456"/>
      <c r="K15" s="1456"/>
    </row>
    <row r="16" spans="1:11">
      <c r="B16" s="1456"/>
      <c r="C16" s="1456"/>
      <c r="D16" s="1456"/>
      <c r="E16" s="1456"/>
      <c r="F16" s="1456"/>
      <c r="G16" s="1456"/>
      <c r="H16" s="1456"/>
      <c r="I16" s="1456"/>
    </row>
    <row r="17" spans="2:9">
      <c r="B17" s="1456"/>
      <c r="C17" s="1456"/>
      <c r="D17" s="1456"/>
      <c r="E17" s="1456"/>
      <c r="F17" s="1456"/>
      <c r="G17" s="1456"/>
      <c r="H17" s="1456"/>
      <c r="I17" s="1456"/>
    </row>
  </sheetData>
  <mergeCells count="8">
    <mergeCell ref="B7:F7"/>
    <mergeCell ref="B15:F15"/>
    <mergeCell ref="B9:I9"/>
    <mergeCell ref="B1:J1"/>
    <mergeCell ref="C3:E3"/>
    <mergeCell ref="C4:E4"/>
    <mergeCell ref="B2:E2"/>
    <mergeCell ref="B6:F6"/>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249977111117893"/>
  </sheetPr>
  <dimension ref="A1:BE497"/>
  <sheetViews>
    <sheetView showGridLines="0" zoomScaleNormal="100" workbookViewId="0"/>
  </sheetViews>
  <sheetFormatPr defaultColWidth="9.140625" defaultRowHeight="13.15"/>
  <cols>
    <col min="1" max="1" width="2.7109375" style="2" customWidth="1"/>
    <col min="2" max="2" width="66.7109375" style="2" customWidth="1"/>
    <col min="3" max="3" width="27" style="2" customWidth="1"/>
    <col min="4" max="4" width="29.140625" style="2" customWidth="1"/>
    <col min="5" max="6" width="19.28515625" style="2" customWidth="1"/>
    <col min="7" max="7" width="14.28515625" style="2" customWidth="1"/>
    <col min="8" max="8" width="19.5703125" style="2" customWidth="1"/>
    <col min="9" max="9" width="26.5703125" style="2" customWidth="1"/>
    <col min="10" max="10" width="18.85546875" style="2" customWidth="1"/>
    <col min="11" max="11" width="15.85546875" style="2" customWidth="1"/>
    <col min="12" max="12" width="14" style="2" customWidth="1"/>
    <col min="13" max="13" width="12" style="2" customWidth="1"/>
    <col min="14" max="14" width="17.7109375" style="2" customWidth="1"/>
    <col min="15" max="15" width="19.28515625" style="2" customWidth="1"/>
    <col min="16" max="16" width="16.85546875" style="2" customWidth="1"/>
    <col min="17" max="17" width="18.5703125" style="2" customWidth="1"/>
    <col min="18" max="18" width="16.5703125" style="2" customWidth="1"/>
    <col min="19" max="19" width="22.7109375" style="2" customWidth="1"/>
    <col min="20" max="26" width="9.140625" style="2" customWidth="1"/>
    <col min="27" max="27" width="20.5703125" style="2" customWidth="1"/>
    <col min="28" max="28" width="9.140625" style="2" customWidth="1"/>
    <col min="29" max="29" width="45.5703125" style="2" customWidth="1"/>
    <col min="30" max="30" width="16.28515625" style="2" customWidth="1"/>
    <col min="31" max="31" width="6.5703125" style="2" customWidth="1"/>
    <col min="32" max="33" width="9.140625" style="2" customWidth="1"/>
    <col min="34" max="34" width="16.28515625" style="2" customWidth="1"/>
    <col min="35" max="35" width="16.5703125" style="2" customWidth="1"/>
    <col min="36" max="37" width="9.140625" style="2" customWidth="1"/>
    <col min="38" max="38" width="14.42578125" style="2" customWidth="1"/>
    <col min="39" max="39" width="9.140625" style="2" customWidth="1"/>
    <col min="40" max="40" width="22.5703125" style="2" customWidth="1"/>
    <col min="41" max="41" width="9.140625" style="2" customWidth="1"/>
    <col min="42" max="52" width="13.42578125" style="2" customWidth="1"/>
    <col min="53" max="16384" width="9.140625" style="2"/>
  </cols>
  <sheetData>
    <row r="1" spans="1:57" s="24" customFormat="1" ht="14.45" thickBot="1">
      <c r="A1" s="30"/>
      <c r="B1" s="18"/>
      <c r="C1" s="18"/>
      <c r="D1" s="18"/>
      <c r="E1" s="18"/>
      <c r="F1" s="18"/>
      <c r="G1" s="18"/>
      <c r="H1" s="18"/>
      <c r="I1" s="18"/>
      <c r="J1" s="18"/>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row>
    <row r="2" spans="1:57" s="24" customFormat="1" ht="19.5" customHeight="1" thickBot="1">
      <c r="A2" s="30"/>
      <c r="B2" s="1988" t="s">
        <v>1494</v>
      </c>
      <c r="C2" s="2047"/>
      <c r="D2" s="2047"/>
      <c r="E2" s="1670"/>
      <c r="F2" s="13"/>
      <c r="G2" s="13"/>
      <c r="H2" s="13"/>
      <c r="I2" s="13"/>
      <c r="J2" s="13"/>
      <c r="K2" s="13"/>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row>
    <row r="3" spans="1:57" s="24" customFormat="1" ht="16.5" customHeight="1">
      <c r="A3" s="30"/>
      <c r="B3" s="135" t="s">
        <v>373</v>
      </c>
      <c r="C3" s="1940" t="s">
        <v>386</v>
      </c>
      <c r="D3" s="1970"/>
      <c r="E3" s="1971"/>
      <c r="F3" s="13"/>
      <c r="G3" s="13"/>
      <c r="H3" s="13"/>
      <c r="I3" s="13"/>
      <c r="J3" s="13"/>
      <c r="K3" s="13"/>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row>
    <row r="4" spans="1:57" s="24" customFormat="1" ht="15" customHeight="1" thickBot="1">
      <c r="A4" s="30"/>
      <c r="B4" s="136" t="s">
        <v>1213</v>
      </c>
      <c r="C4" s="1972" t="s">
        <v>401</v>
      </c>
      <c r="D4" s="1827"/>
      <c r="E4" s="1828"/>
      <c r="F4" s="13"/>
      <c r="G4" s="13"/>
      <c r="H4" s="13"/>
      <c r="I4" s="13"/>
      <c r="J4" s="13"/>
      <c r="K4" s="13"/>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row>
    <row r="5" spans="1:57" s="24" customFormat="1" ht="15" customHeight="1" thickBot="1">
      <c r="A5" s="30"/>
      <c r="B5" s="1456"/>
      <c r="C5" s="1456"/>
      <c r="D5" s="1456"/>
      <c r="E5" s="1456"/>
      <c r="F5" s="13"/>
      <c r="G5" s="13"/>
      <c r="H5" s="13"/>
      <c r="I5" s="13"/>
      <c r="J5" s="13"/>
      <c r="K5" s="13"/>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row>
    <row r="6" spans="1:57" s="24" customFormat="1" ht="15" customHeight="1" thickBot="1">
      <c r="A6" s="30"/>
      <c r="B6" s="1664" t="s">
        <v>377</v>
      </c>
      <c r="C6" s="1665"/>
      <c r="D6" s="1665"/>
      <c r="E6" s="1666"/>
      <c r="F6" s="13"/>
      <c r="G6" s="13"/>
      <c r="H6" s="13"/>
      <c r="I6" s="13"/>
      <c r="J6" s="13"/>
      <c r="K6" s="13"/>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row>
    <row r="7" spans="1:57" s="24" customFormat="1" ht="55.5" customHeight="1" thickBot="1">
      <c r="A7" s="30"/>
      <c r="B7" s="1807" t="s">
        <v>1495</v>
      </c>
      <c r="C7" s="1808"/>
      <c r="D7" s="1808"/>
      <c r="E7" s="1809"/>
      <c r="F7" s="13"/>
      <c r="G7" s="13"/>
      <c r="H7" s="13"/>
      <c r="I7" s="13"/>
      <c r="J7" s="13"/>
      <c r="K7" s="13"/>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row>
    <row r="8" spans="1:57" ht="13.9" thickBot="1">
      <c r="A8" s="30"/>
      <c r="B8" s="30"/>
      <c r="C8" s="30"/>
      <c r="D8" s="30"/>
      <c r="E8" s="30"/>
      <c r="F8" s="30"/>
      <c r="G8" s="30"/>
      <c r="H8" s="30"/>
      <c r="I8" s="17"/>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row>
    <row r="9" spans="1:57" ht="15.75" customHeight="1" thickBot="1">
      <c r="A9" s="30"/>
      <c r="B9" s="1879" t="s">
        <v>1496</v>
      </c>
      <c r="C9" s="1717"/>
      <c r="D9" s="1717"/>
      <c r="E9" s="1717"/>
      <c r="F9" s="1717"/>
      <c r="G9" s="167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482"/>
      <c r="BE9" s="482"/>
    </row>
    <row r="10" spans="1:57" ht="48.75" customHeight="1">
      <c r="A10" s="30"/>
      <c r="B10" s="1178" t="s">
        <v>1497</v>
      </c>
      <c r="C10" s="1188" t="s">
        <v>1498</v>
      </c>
      <c r="D10" s="1179" t="s">
        <v>1499</v>
      </c>
      <c r="E10" s="1179" t="s">
        <v>1500</v>
      </c>
      <c r="F10" s="1457" t="s">
        <v>1501</v>
      </c>
      <c r="G10" s="1467" t="s">
        <v>1395</v>
      </c>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482"/>
      <c r="BE10" s="482"/>
    </row>
    <row r="11" spans="1:57" ht="26.25" customHeight="1">
      <c r="A11" s="30"/>
      <c r="B11" s="1470" t="s">
        <v>1502</v>
      </c>
      <c r="C11" s="361" t="s">
        <v>1503</v>
      </c>
      <c r="D11" s="953" t="s">
        <v>1504</v>
      </c>
      <c r="E11" s="953" t="s">
        <v>1505</v>
      </c>
      <c r="F11" s="369" t="s">
        <v>1506</v>
      </c>
      <c r="G11" s="773"/>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482"/>
      <c r="BE11" s="482"/>
    </row>
    <row r="12" spans="1:57" ht="13.9" thickBot="1">
      <c r="A12" s="30"/>
      <c r="B12" s="81" t="s">
        <v>355</v>
      </c>
      <c r="C12" s="362">
        <f>D78</f>
        <v>3034.9191632887846</v>
      </c>
      <c r="D12" s="1431">
        <f>H84</f>
        <v>7.0180059960594857E-2</v>
      </c>
      <c r="E12" s="1630">
        <f>IF(Inputs!$C$333="No",'Waste-Solid Waste Disposal'!$C$29,IF(Inputs!$C$337='Drop-Downs'!$F$2,'Waste-Solid Waste Disposal'!$C$29,INDEX('Waste-Solid Waste Disposal'!$C$17:$C$28,MATCH(Inputs!$C$337,'Waste-Solid Waste Disposal'!$B$17:$B$28,0))))</f>
        <v>0.85669341666666676</v>
      </c>
      <c r="F12" s="947">
        <v>0.1</v>
      </c>
      <c r="G12" s="1433">
        <f>C12*D12*(1-E12)*(1-F12)</f>
        <v>27.470686588593114</v>
      </c>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482"/>
      <c r="BE12" s="482"/>
    </row>
    <row r="13" spans="1:57" ht="49.9" customHeight="1" thickBot="1">
      <c r="A13" s="30"/>
      <c r="B13" s="1912" t="s">
        <v>1507</v>
      </c>
      <c r="C13" s="1927"/>
      <c r="D13" s="1927"/>
      <c r="E13" s="1667"/>
      <c r="F13" s="30"/>
      <c r="G13" s="30"/>
      <c r="H13" s="30"/>
      <c r="I13" s="17"/>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row>
    <row r="14" spans="1:57" ht="13.9" thickBot="1">
      <c r="A14" s="30"/>
      <c r="B14" s="30"/>
      <c r="C14" s="30"/>
      <c r="D14" s="30"/>
      <c r="E14" s="30"/>
      <c r="F14" s="30"/>
      <c r="G14" s="30"/>
      <c r="H14" s="30"/>
      <c r="I14" s="17"/>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row>
    <row r="15" spans="1:57" ht="19.899999999999999" customHeight="1" thickBot="1">
      <c r="A15" s="30"/>
      <c r="B15" s="2080" t="s">
        <v>1508</v>
      </c>
      <c r="C15" s="2081"/>
      <c r="D15" s="2081"/>
      <c r="E15" s="2081"/>
      <c r="F15" s="2082"/>
      <c r="G15" s="30"/>
      <c r="H15" s="30"/>
      <c r="I15" s="17"/>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row>
    <row r="16" spans="1:57" ht="27" thickBot="1">
      <c r="A16" s="30"/>
      <c r="B16" s="1622" t="s">
        <v>160</v>
      </c>
      <c r="C16" s="79" t="s">
        <v>1509</v>
      </c>
      <c r="D16" s="2083" t="s">
        <v>1510</v>
      </c>
      <c r="E16" s="2083"/>
      <c r="F16" s="2084"/>
      <c r="G16" s="30"/>
      <c r="H16" s="30"/>
      <c r="I16" s="17"/>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row>
    <row r="17" spans="1:57">
      <c r="A17" s="30"/>
      <c r="B17" s="1621" t="s">
        <v>1511</v>
      </c>
      <c r="C17" s="1624">
        <v>0.95</v>
      </c>
      <c r="D17" s="2085" t="s">
        <v>1512</v>
      </c>
      <c r="E17" s="2086"/>
      <c r="F17" s="2086"/>
      <c r="G17" s="30"/>
      <c r="H17" s="30"/>
      <c r="I17" s="17"/>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row>
    <row r="18" spans="1:57">
      <c r="A18" s="30"/>
      <c r="B18" s="1619" t="s">
        <v>1513</v>
      </c>
      <c r="C18" s="1625">
        <v>0.95</v>
      </c>
      <c r="D18" s="2071" t="s">
        <v>1514</v>
      </c>
      <c r="E18" s="2072"/>
      <c r="F18" s="2072"/>
      <c r="G18" s="30"/>
      <c r="H18" s="30"/>
      <c r="I18" s="17"/>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row>
    <row r="19" spans="1:57">
      <c r="A19" s="30"/>
      <c r="B19" s="1619" t="s">
        <v>1515</v>
      </c>
      <c r="C19" s="1625">
        <v>0.95</v>
      </c>
      <c r="D19" s="2071" t="s">
        <v>1516</v>
      </c>
      <c r="E19" s="2072"/>
      <c r="F19" s="2072"/>
      <c r="G19" s="30"/>
      <c r="H19" s="30"/>
      <c r="I19" s="17"/>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row>
    <row r="20" spans="1:57">
      <c r="A20" s="30"/>
      <c r="B20" s="1619" t="s">
        <v>1517</v>
      </c>
      <c r="C20" s="1625">
        <v>0.95</v>
      </c>
      <c r="D20" s="2071" t="s">
        <v>1518</v>
      </c>
      <c r="E20" s="2072"/>
      <c r="F20" s="2072"/>
      <c r="G20" s="30"/>
      <c r="H20" s="30"/>
      <c r="I20" s="17"/>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row>
    <row r="21" spans="1:57">
      <c r="A21" s="30"/>
      <c r="B21" s="1619" t="s">
        <v>1519</v>
      </c>
      <c r="C21" s="1625">
        <v>0.95</v>
      </c>
      <c r="D21" s="2071" t="s">
        <v>1520</v>
      </c>
      <c r="E21" s="2072"/>
      <c r="F21" s="2072"/>
      <c r="G21" s="30"/>
      <c r="H21" s="30"/>
      <c r="I21" s="17"/>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row>
    <row r="22" spans="1:57">
      <c r="A22" s="30"/>
      <c r="B22" s="1619" t="s">
        <v>1521</v>
      </c>
      <c r="C22" s="1625">
        <v>0.87273199999999995</v>
      </c>
      <c r="D22" s="2071" t="s">
        <v>1522</v>
      </c>
      <c r="E22" s="2072"/>
      <c r="F22" s="2072"/>
      <c r="G22" s="30"/>
      <c r="H22" s="30"/>
      <c r="I22" s="17"/>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row>
    <row r="23" spans="1:57">
      <c r="A23" s="30"/>
      <c r="B23" s="1619" t="s">
        <v>1523</v>
      </c>
      <c r="C23" s="1625">
        <v>0.95</v>
      </c>
      <c r="D23" s="2071" t="s">
        <v>1524</v>
      </c>
      <c r="E23" s="2072"/>
      <c r="F23" s="2072"/>
      <c r="G23" s="30"/>
      <c r="H23" s="30"/>
      <c r="I23" s="17"/>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row>
    <row r="24" spans="1:57">
      <c r="A24" s="30"/>
      <c r="B24" s="1619" t="s">
        <v>1525</v>
      </c>
      <c r="C24" s="1625">
        <v>0.95</v>
      </c>
      <c r="D24" s="2071" t="s">
        <v>1526</v>
      </c>
      <c r="E24" s="2072"/>
      <c r="F24" s="2072"/>
      <c r="G24" s="30"/>
      <c r="H24" s="30"/>
      <c r="I24" s="17"/>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row>
    <row r="25" spans="1:57">
      <c r="A25" s="30"/>
      <c r="B25" s="1619" t="s">
        <v>1527</v>
      </c>
      <c r="C25" s="1625">
        <v>0.95</v>
      </c>
      <c r="D25" s="2071" t="s">
        <v>1528</v>
      </c>
      <c r="E25" s="2072"/>
      <c r="F25" s="2072"/>
      <c r="G25" s="30"/>
      <c r="H25" s="30"/>
      <c r="I25" s="17"/>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row>
    <row r="26" spans="1:57">
      <c r="A26" s="30"/>
      <c r="B26" s="1619" t="s">
        <v>1529</v>
      </c>
      <c r="C26" s="1625">
        <v>0.85758900000000005</v>
      </c>
      <c r="D26" s="2071" t="s">
        <v>1530</v>
      </c>
      <c r="E26" s="2072"/>
      <c r="F26" s="2072"/>
      <c r="G26" s="30"/>
      <c r="H26" s="30"/>
      <c r="I26" s="17"/>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row>
    <row r="27" spans="1:57">
      <c r="A27" s="30"/>
      <c r="B27" s="1619" t="s">
        <v>1531</v>
      </c>
      <c r="C27" s="1625">
        <v>0.95</v>
      </c>
      <c r="D27" s="2071" t="s">
        <v>1532</v>
      </c>
      <c r="E27" s="2072"/>
      <c r="F27" s="2072"/>
      <c r="G27" s="30"/>
      <c r="H27" s="30"/>
      <c r="I27" s="17"/>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row>
    <row r="28" spans="1:57">
      <c r="A28" s="30"/>
      <c r="B28" s="1619" t="s">
        <v>1533</v>
      </c>
      <c r="C28" s="1625">
        <v>0</v>
      </c>
      <c r="D28" s="2071" t="s">
        <v>1534</v>
      </c>
      <c r="E28" s="2072"/>
      <c r="F28" s="2072"/>
      <c r="G28" s="30"/>
      <c r="H28" s="30"/>
      <c r="I28" s="17"/>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row>
    <row r="29" spans="1:57">
      <c r="A29" s="30"/>
      <c r="B29" s="1620" t="s">
        <v>1535</v>
      </c>
      <c r="C29" s="1623">
        <f>AVERAGE(C17:C28)</f>
        <v>0.85669341666666676</v>
      </c>
      <c r="D29" s="2072"/>
      <c r="E29" s="2072"/>
      <c r="F29" s="2072"/>
      <c r="G29" s="30"/>
      <c r="H29" s="30"/>
      <c r="I29" s="17"/>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row>
    <row r="30" spans="1:57" ht="27.6" customHeight="1">
      <c r="A30" s="30"/>
      <c r="B30" s="2077" t="s">
        <v>1536</v>
      </c>
      <c r="C30" s="2078"/>
      <c r="D30" s="2078"/>
      <c r="E30" s="2078"/>
      <c r="F30" s="2079"/>
      <c r="G30" s="30"/>
      <c r="H30" s="30"/>
      <c r="I30" s="17"/>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row>
    <row r="31" spans="1:57" ht="15.6">
      <c r="A31" s="30"/>
      <c r="B31" s="1617"/>
      <c r="C31" s="1617"/>
      <c r="D31" s="1617"/>
      <c r="E31" s="1618"/>
      <c r="F31" s="1618"/>
      <c r="G31" s="30"/>
      <c r="H31" s="30"/>
      <c r="I31" s="17"/>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row>
    <row r="32" spans="1:57" ht="15.6">
      <c r="A32" s="30"/>
      <c r="B32" s="1617"/>
      <c r="C32" s="1617"/>
      <c r="D32" s="1617"/>
      <c r="E32" s="1617"/>
      <c r="F32" s="1617"/>
      <c r="G32" s="30"/>
      <c r="H32" s="30"/>
      <c r="I32" s="17"/>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row>
    <row r="33" spans="1:57" ht="15.6">
      <c r="A33" s="30"/>
      <c r="B33" s="1617"/>
      <c r="C33" s="1617"/>
      <c r="D33" s="1617"/>
      <c r="E33" s="1617"/>
      <c r="F33" s="1617"/>
      <c r="G33" s="30"/>
      <c r="H33" s="30"/>
      <c r="I33" s="17"/>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row>
    <row r="34" spans="1:57" ht="15.6">
      <c r="A34" s="30"/>
      <c r="B34" s="1617"/>
      <c r="C34" s="1617"/>
      <c r="D34" s="1617"/>
      <c r="E34" s="1617"/>
      <c r="F34" s="1617"/>
      <c r="G34" s="30"/>
      <c r="H34" s="30"/>
      <c r="I34" s="17"/>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row>
    <row r="35" spans="1:57" ht="15.6">
      <c r="A35" s="30"/>
      <c r="B35" s="1617"/>
      <c r="C35" s="1617"/>
      <c r="D35" s="1617"/>
      <c r="E35" s="1617"/>
      <c r="F35" s="1617"/>
      <c r="G35" s="30"/>
      <c r="H35" s="30"/>
      <c r="I35" s="17"/>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row>
    <row r="36" spans="1:57" ht="15.6">
      <c r="A36" s="30"/>
      <c r="B36" s="1617"/>
      <c r="C36" s="1617"/>
      <c r="D36" s="1617"/>
      <c r="E36" s="1617"/>
      <c r="F36" s="1617"/>
      <c r="G36" s="30"/>
      <c r="H36" s="30"/>
      <c r="I36" s="17"/>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row>
    <row r="37" spans="1:57" ht="15.6">
      <c r="A37" s="30"/>
      <c r="B37" s="1617"/>
      <c r="C37" s="1617"/>
      <c r="D37" s="1617"/>
      <c r="E37" s="1617"/>
      <c r="F37" s="1617"/>
      <c r="G37" s="30"/>
      <c r="H37" s="30"/>
      <c r="I37" s="17"/>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row>
    <row r="38" spans="1:57" ht="15.6">
      <c r="A38" s="30"/>
      <c r="B38" s="1617"/>
      <c r="C38" s="1617"/>
      <c r="D38" s="1617"/>
      <c r="E38" s="1617"/>
      <c r="F38" s="1617"/>
      <c r="G38" s="30"/>
      <c r="H38" s="30"/>
      <c r="I38" s="17"/>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row>
    <row r="39" spans="1:57" ht="15.6">
      <c r="A39" s="30"/>
      <c r="B39" s="1617"/>
      <c r="C39" s="1617"/>
      <c r="D39" s="1617"/>
      <c r="E39" s="1617"/>
      <c r="F39" s="1617"/>
      <c r="G39" s="30"/>
      <c r="H39" s="30"/>
      <c r="I39" s="17"/>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row>
    <row r="40" spans="1:57" ht="15.6">
      <c r="A40" s="30"/>
      <c r="B40" s="1617"/>
      <c r="C40" s="1617"/>
      <c r="D40" s="1617"/>
      <c r="E40" s="1617"/>
      <c r="F40" s="1617"/>
      <c r="G40" s="30"/>
      <c r="H40" s="30"/>
      <c r="I40" s="17"/>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row>
    <row r="41" spans="1:57" ht="15.6">
      <c r="A41" s="30"/>
      <c r="B41" s="1617"/>
      <c r="C41" s="1617"/>
      <c r="D41" s="1617"/>
      <c r="E41" s="1617"/>
      <c r="F41" s="1617"/>
      <c r="G41" s="30"/>
      <c r="H41" s="30"/>
      <c r="I41" s="17"/>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row>
    <row r="42" spans="1:57" ht="15.6">
      <c r="A42" s="30"/>
      <c r="B42" s="1617"/>
      <c r="C42" s="1617"/>
      <c r="D42" s="1617"/>
      <c r="E42" s="1617"/>
      <c r="F42" s="1617"/>
      <c r="G42" s="30"/>
      <c r="H42" s="30"/>
      <c r="I42" s="17"/>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row>
    <row r="43" spans="1:57" ht="15.6">
      <c r="A43" s="30"/>
      <c r="B43" s="1617"/>
      <c r="C43" s="1617"/>
      <c r="D43" s="1617"/>
      <c r="E43" s="1617"/>
      <c r="F43" s="1617"/>
      <c r="G43" s="30"/>
      <c r="H43" s="30"/>
      <c r="I43" s="17"/>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row>
    <row r="44" spans="1:57" ht="15.6">
      <c r="A44" s="30"/>
      <c r="B44" s="1617"/>
      <c r="C44" s="1617"/>
      <c r="D44" s="1617"/>
      <c r="E44" s="1617"/>
      <c r="F44" s="1617"/>
      <c r="G44" s="30"/>
      <c r="H44" s="30"/>
      <c r="I44" s="17"/>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row>
    <row r="45" spans="1:57" ht="15.6">
      <c r="A45" s="30"/>
      <c r="B45" s="1617"/>
      <c r="C45" s="1617"/>
      <c r="D45" s="1617"/>
      <c r="E45" s="1617"/>
      <c r="F45" s="1617"/>
      <c r="G45" s="30"/>
      <c r="H45" s="30"/>
      <c r="I45" s="17"/>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row>
    <row r="46" spans="1:57" ht="15.6">
      <c r="A46" s="30"/>
      <c r="B46" s="1617"/>
      <c r="C46" s="1617"/>
      <c r="D46" s="1617"/>
      <c r="E46" s="1617"/>
      <c r="F46" s="1617"/>
      <c r="G46" s="30"/>
      <c r="H46" s="30"/>
      <c r="I46" s="17"/>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row>
    <row r="47" spans="1:57" ht="15.6">
      <c r="A47" s="30"/>
      <c r="B47" s="1617"/>
      <c r="C47" s="1617"/>
      <c r="D47" s="1617"/>
      <c r="E47" s="1617"/>
      <c r="F47" s="1617"/>
      <c r="G47" s="30"/>
      <c r="H47" s="30"/>
      <c r="I47" s="17"/>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row>
    <row r="48" spans="1:57">
      <c r="A48" s="30"/>
      <c r="B48" s="30"/>
      <c r="C48" s="30"/>
      <c r="D48" s="30"/>
      <c r="E48" s="30"/>
      <c r="F48" s="30"/>
      <c r="G48" s="30"/>
      <c r="H48" s="30"/>
      <c r="I48" s="17"/>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row>
    <row r="49" spans="1:57">
      <c r="A49" s="30"/>
      <c r="B49" s="30"/>
      <c r="C49" s="30"/>
      <c r="D49" s="30"/>
      <c r="E49" s="30"/>
      <c r="F49" s="30"/>
      <c r="G49" s="30"/>
      <c r="H49" s="30"/>
      <c r="I49" s="17"/>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row>
    <row r="50" spans="1:57">
      <c r="A50" s="30"/>
      <c r="B50" s="30"/>
      <c r="C50" s="30"/>
      <c r="D50" s="30"/>
      <c r="E50" s="30"/>
      <c r="F50" s="30"/>
      <c r="G50" s="30"/>
      <c r="H50" s="30"/>
      <c r="I50" s="17"/>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row>
    <row r="51" spans="1:57" ht="13.9" thickBot="1">
      <c r="A51" s="30"/>
      <c r="B51" s="30"/>
      <c r="C51" s="30"/>
      <c r="D51" s="30"/>
      <c r="E51" s="30"/>
      <c r="F51" s="30"/>
      <c r="G51" s="30"/>
      <c r="H51" s="30"/>
      <c r="I51" s="17"/>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row>
    <row r="52" spans="1:57" s="24" customFormat="1" ht="17.25" customHeight="1" thickBot="1">
      <c r="A52" s="30"/>
      <c r="B52" s="1682" t="s">
        <v>1537</v>
      </c>
      <c r="C52" s="1860"/>
      <c r="D52" s="1860"/>
      <c r="E52" s="1860"/>
      <c r="F52" s="1683"/>
      <c r="G52" s="481"/>
      <c r="H52" s="25"/>
      <c r="I52" s="25"/>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row>
    <row r="53" spans="1:57" s="24" customFormat="1" ht="66.75" customHeight="1">
      <c r="A53" s="30"/>
      <c r="B53" s="91" t="s">
        <v>183</v>
      </c>
      <c r="C53" s="1179" t="s">
        <v>1538</v>
      </c>
      <c r="D53" s="1179" t="s">
        <v>1539</v>
      </c>
      <c r="E53" s="1179" t="s">
        <v>1540</v>
      </c>
      <c r="F53" s="1467" t="s">
        <v>1541</v>
      </c>
      <c r="G53" s="30"/>
      <c r="H53" s="25"/>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row>
    <row r="54" spans="1:57" s="24" customFormat="1" ht="15" customHeight="1">
      <c r="A54" s="30"/>
      <c r="B54" s="774" t="s">
        <v>186</v>
      </c>
      <c r="C54" s="775">
        <f>Inputs!C319</f>
        <v>0</v>
      </c>
      <c r="D54" s="775">
        <f>Inputs!D319</f>
        <v>0</v>
      </c>
      <c r="E54" s="776">
        <f>C54*'Emission Factors'!$D$143</f>
        <v>0</v>
      </c>
      <c r="F54" s="777">
        <f>D54*'Emission Factors'!$D$143</f>
        <v>0</v>
      </c>
      <c r="G54" s="30"/>
      <c r="H54" s="1320"/>
      <c r="I54" s="2061"/>
      <c r="J54" s="2061"/>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row>
    <row r="55" spans="1:57" s="24" customFormat="1" ht="12.75" customHeight="1">
      <c r="A55" s="30"/>
      <c r="B55" s="778" t="s">
        <v>190</v>
      </c>
      <c r="C55" s="779">
        <f>IFERROR(IF(Inputs!$C$321="Yes",Inputs!C$326,Inputs!C$319/(Inputs!$C$331/Inputs!$C$330)-Inputs!C$319),SUM(D61,D69)/Inputs!$C$349*Inputs!$C$348)</f>
        <v>33385.973651577624</v>
      </c>
      <c r="D55" s="779">
        <f>IFERROR(IF(Inputs!$C$321="Yes",Inputs!D$326,Inputs!D$319/(Inputs!$C$331/Inputs!$C$330)-Inputs!D$319),0)</f>
        <v>0</v>
      </c>
      <c r="E55" s="780">
        <f>C55*'Emission Factors'!$D$143</f>
        <v>30287.254507106449</v>
      </c>
      <c r="F55" s="781">
        <f>D55*'Emission Factors'!$D$143</f>
        <v>0</v>
      </c>
      <c r="G55" s="30"/>
      <c r="H55" s="25"/>
      <c r="I55" s="2061"/>
      <c r="J55" s="2061"/>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row>
    <row r="56" spans="1:57" s="24" customFormat="1" ht="15" customHeight="1" thickBot="1">
      <c r="A56" s="30"/>
      <c r="B56" s="480" t="s">
        <v>1542</v>
      </c>
      <c r="C56" s="1355">
        <f>SUM(C54:C55)</f>
        <v>33385.973651577624</v>
      </c>
      <c r="D56" s="1355">
        <f>SUM(D54:D55)</f>
        <v>0</v>
      </c>
      <c r="E56" s="1355">
        <f>SUM(E54:E55)</f>
        <v>30287.254507106449</v>
      </c>
      <c r="F56" s="1356">
        <f>SUM(F54:F55)</f>
        <v>0</v>
      </c>
      <c r="G56" s="30"/>
      <c r="H56" s="25"/>
      <c r="I56" s="2061"/>
      <c r="J56" s="2061"/>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row>
    <row r="57" spans="1:57" s="24" customFormat="1" ht="26.45" customHeight="1" thickBot="1">
      <c r="A57" s="30"/>
      <c r="B57" s="1899" t="s">
        <v>1543</v>
      </c>
      <c r="C57" s="1691"/>
      <c r="D57" s="1691"/>
      <c r="E57" s="1541"/>
      <c r="F57" s="1541"/>
      <c r="G57" s="30"/>
      <c r="H57" s="25"/>
      <c r="I57" s="1521"/>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row>
    <row r="58" spans="1:57" s="24" customFormat="1" ht="15" customHeight="1" thickBot="1">
      <c r="A58" s="30"/>
      <c r="B58" s="30"/>
      <c r="C58" s="31"/>
      <c r="D58" s="25"/>
      <c r="E58" s="25"/>
      <c r="F58" s="30"/>
      <c r="G58" s="30"/>
      <c r="H58" s="30"/>
      <c r="I58" s="1572"/>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row>
    <row r="59" spans="1:57" s="24" customFormat="1" ht="18" customHeight="1" thickBot="1">
      <c r="A59" s="30"/>
      <c r="B59" s="1682" t="s">
        <v>1544</v>
      </c>
      <c r="C59" s="1860"/>
      <c r="D59" s="1860"/>
      <c r="E59" s="1683"/>
      <c r="F59" s="481"/>
      <c r="G59" s="30"/>
      <c r="H59" s="30"/>
      <c r="I59" s="25"/>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row>
    <row r="60" spans="1:57" s="24" customFormat="1" ht="39.6">
      <c r="A60" s="30"/>
      <c r="B60" s="91" t="s">
        <v>1545</v>
      </c>
      <c r="C60" s="54" t="s">
        <v>342</v>
      </c>
      <c r="D60" s="54" t="s">
        <v>343</v>
      </c>
      <c r="E60" s="55" t="s">
        <v>1546</v>
      </c>
      <c r="F60" s="30"/>
      <c r="G60" s="30"/>
      <c r="H60" s="30"/>
      <c r="I60" s="25"/>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row>
    <row r="61" spans="1:57" s="24" customFormat="1" ht="27" thickBot="1">
      <c r="A61" s="30"/>
      <c r="B61" s="90" t="s">
        <v>1547</v>
      </c>
      <c r="C61" s="1321" t="s">
        <v>1548</v>
      </c>
      <c r="D61" s="535">
        <f>SUM(D62:D64,D66:D67)</f>
        <v>4890000</v>
      </c>
      <c r="E61" s="366">
        <f>D61/SUM(D61,D69)</f>
        <v>0.62934362934362931</v>
      </c>
      <c r="F61" s="30"/>
      <c r="G61" s="30"/>
      <c r="H61" s="30"/>
      <c r="I61" s="25"/>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row>
    <row r="62" spans="1:57" s="24" customFormat="1" ht="25.5" customHeight="1">
      <c r="A62" s="30"/>
      <c r="B62" s="2073" t="s">
        <v>1549</v>
      </c>
      <c r="C62" s="363" t="s">
        <v>1550</v>
      </c>
      <c r="D62" s="261">
        <f>'Adjust Inventory Year'!C126</f>
        <v>410000</v>
      </c>
      <c r="E62" s="491"/>
      <c r="F62" s="30"/>
      <c r="G62" s="30"/>
      <c r="H62" s="1301"/>
      <c r="I62" s="25"/>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row>
    <row r="63" spans="1:57" s="24" customFormat="1" ht="25.5" customHeight="1">
      <c r="A63" s="30"/>
      <c r="B63" s="2074"/>
      <c r="C63" s="364" t="s">
        <v>1551</v>
      </c>
      <c r="D63" s="260">
        <f>'Adjust Inventory Year'!C127</f>
        <v>0</v>
      </c>
      <c r="E63" s="492"/>
      <c r="F63" s="30"/>
      <c r="G63" s="1301"/>
      <c r="H63" s="1301"/>
      <c r="I63" s="25"/>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row>
    <row r="64" spans="1:57" s="24" customFormat="1" ht="25.5" customHeight="1">
      <c r="A64" s="30"/>
      <c r="B64" s="2074"/>
      <c r="C64" s="365" t="s">
        <v>1552</v>
      </c>
      <c r="D64" s="260">
        <f>'Adjust Inventory Year'!C128</f>
        <v>80000</v>
      </c>
      <c r="E64" s="493"/>
      <c r="F64" s="30"/>
      <c r="G64" s="30"/>
      <c r="H64" s="30"/>
      <c r="I64" s="25"/>
      <c r="J64" s="1301"/>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row>
    <row r="65" spans="1:40" s="24" customFormat="1" ht="25.5" customHeight="1" thickBot="1">
      <c r="A65" s="30"/>
      <c r="B65" s="2075"/>
      <c r="C65" s="1434" t="s">
        <v>1553</v>
      </c>
      <c r="D65" s="1390">
        <f>SUM(D62:D64)</f>
        <v>490000</v>
      </c>
      <c r="E65" s="1435">
        <f>IF(Inputs!C288="No",D65/$D$61,Inputs!C293)</f>
        <v>0.10020449897750511</v>
      </c>
      <c r="F65" s="1322"/>
      <c r="G65" s="30"/>
      <c r="H65" s="30"/>
      <c r="I65" s="25"/>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row>
    <row r="66" spans="1:40" s="24" customFormat="1" ht="25.5" customHeight="1">
      <c r="A66" s="30"/>
      <c r="B66" s="2076" t="s">
        <v>1554</v>
      </c>
      <c r="C66" s="363" t="s">
        <v>1550</v>
      </c>
      <c r="D66" s="261">
        <f>'Adjust Inventory Year'!C129</f>
        <v>2900000</v>
      </c>
      <c r="E66" s="491"/>
      <c r="F66" s="1322"/>
      <c r="G66" s="30"/>
      <c r="H66" s="30"/>
      <c r="I66" s="25"/>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row>
    <row r="67" spans="1:40" s="24" customFormat="1" ht="25.5" customHeight="1">
      <c r="A67" s="30"/>
      <c r="B67" s="2074"/>
      <c r="C67" s="365" t="s">
        <v>1555</v>
      </c>
      <c r="D67" s="283">
        <f>'Adjust Inventory Year'!C132</f>
        <v>1500000</v>
      </c>
      <c r="E67" s="493"/>
      <c r="F67" s="30"/>
      <c r="G67" s="30"/>
      <c r="H67" s="30"/>
      <c r="I67" s="25"/>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row>
    <row r="68" spans="1:40" s="24" customFormat="1" ht="25.5" customHeight="1" thickBot="1">
      <c r="A68" s="30"/>
      <c r="B68" s="2075"/>
      <c r="C68" s="1434" t="s">
        <v>1556</v>
      </c>
      <c r="D68" s="1349">
        <f>SUM(D66:D67)</f>
        <v>4400000</v>
      </c>
      <c r="E68" s="1435">
        <f>IF(Inputs!C288="No",D68/$D$61,Inputs!C294)</f>
        <v>0.89979550102249484</v>
      </c>
      <c r="F68" s="30"/>
      <c r="G68" s="30"/>
      <c r="H68" s="30"/>
      <c r="I68" s="25"/>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row>
    <row r="69" spans="1:40" s="24" customFormat="1" ht="25.5" customHeight="1" thickBot="1">
      <c r="A69" s="30"/>
      <c r="B69" s="1536" t="s">
        <v>1557</v>
      </c>
      <c r="C69" s="1539" t="s">
        <v>1557</v>
      </c>
      <c r="D69" s="1049">
        <f>SUM(D70:D71)</f>
        <v>2880000</v>
      </c>
      <c r="E69" s="1538"/>
      <c r="F69" s="30"/>
      <c r="G69" s="30"/>
      <c r="H69" s="30"/>
      <c r="I69" s="25"/>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row>
    <row r="70" spans="1:40" s="24" customFormat="1" ht="25.5" customHeight="1">
      <c r="A70" s="30"/>
      <c r="B70" s="2069" t="s">
        <v>1558</v>
      </c>
      <c r="C70" s="1523" t="s">
        <v>1550</v>
      </c>
      <c r="D70" s="355">
        <f>'Adjust Inventory Year'!C131</f>
        <v>1380000</v>
      </c>
      <c r="E70" s="1537"/>
      <c r="F70" s="30"/>
      <c r="G70" s="30"/>
      <c r="H70" s="30"/>
      <c r="I70" s="25"/>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row>
    <row r="71" spans="1:40" s="24" customFormat="1" ht="25.5" customHeight="1" thickBot="1">
      <c r="A71" s="30"/>
      <c r="B71" s="2070"/>
      <c r="C71" s="365" t="s">
        <v>1555</v>
      </c>
      <c r="D71" s="355">
        <f>'Adjust Inventory Year'!C132</f>
        <v>1500000</v>
      </c>
      <c r="E71" s="493"/>
      <c r="F71" s="30"/>
      <c r="G71" s="30"/>
      <c r="H71" s="30"/>
      <c r="I71" s="25"/>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row>
    <row r="72" spans="1:40" s="24" customFormat="1" ht="45" customHeight="1" thickBot="1">
      <c r="A72" s="30"/>
      <c r="B72" s="1899" t="s">
        <v>1559</v>
      </c>
      <c r="C72" s="1691"/>
      <c r="D72" s="1691"/>
      <c r="E72" s="1143" t="s">
        <v>340</v>
      </c>
      <c r="F72" s="367"/>
      <c r="G72" s="1301"/>
      <c r="H72" s="1322"/>
      <c r="I72" s="25"/>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row>
    <row r="73" spans="1:40" s="24" customFormat="1" ht="13.9" thickBot="1">
      <c r="A73" s="30"/>
      <c r="B73" s="92"/>
      <c r="C73" s="93"/>
      <c r="D73" s="10"/>
      <c r="E73" s="94"/>
      <c r="F73" s="1322"/>
      <c r="G73" s="1301"/>
      <c r="H73" s="30"/>
      <c r="I73" s="25"/>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row>
    <row r="74" spans="1:40" ht="21" customHeight="1" thickBot="1">
      <c r="A74" s="482"/>
      <c r="B74" s="1682" t="s">
        <v>1560</v>
      </c>
      <c r="C74" s="1860"/>
      <c r="D74" s="1683"/>
      <c r="E74" s="481"/>
      <c r="F74" s="482"/>
      <c r="G74" s="1301"/>
      <c r="H74" s="30"/>
      <c r="I74" s="30"/>
      <c r="J74" s="30"/>
      <c r="K74" s="30"/>
      <c r="L74" s="30"/>
      <c r="M74" s="30"/>
      <c r="N74" s="30"/>
      <c r="O74" s="30"/>
      <c r="P74" s="30"/>
      <c r="Q74" s="482"/>
      <c r="R74" s="482"/>
      <c r="S74" s="482"/>
      <c r="T74" s="482"/>
      <c r="U74" s="482"/>
      <c r="V74" s="482"/>
      <c r="W74" s="482"/>
      <c r="X74" s="482"/>
      <c r="Y74" s="482"/>
      <c r="Z74" s="482"/>
      <c r="AA74" s="482"/>
      <c r="AB74" s="482"/>
      <c r="AC74" s="482"/>
      <c r="AD74" s="482"/>
      <c r="AE74" s="482"/>
      <c r="AF74" s="482"/>
      <c r="AG74" s="482"/>
      <c r="AH74" s="482"/>
      <c r="AI74" s="482"/>
      <c r="AJ74" s="482"/>
      <c r="AK74" s="482"/>
      <c r="AL74" s="482"/>
      <c r="AM74" s="482"/>
      <c r="AN74" s="482"/>
    </row>
    <row r="75" spans="1:40" ht="44.25" customHeight="1" thickBot="1">
      <c r="A75" s="482"/>
      <c r="B75" s="95" t="s">
        <v>183</v>
      </c>
      <c r="C75" s="96" t="s">
        <v>1561</v>
      </c>
      <c r="D75" s="97" t="s">
        <v>1562</v>
      </c>
      <c r="E75" s="15"/>
      <c r="F75" s="30"/>
      <c r="G75" s="1301"/>
      <c r="H75" s="30"/>
      <c r="I75" s="30"/>
      <c r="J75" s="30"/>
      <c r="K75" s="30"/>
      <c r="L75" s="30"/>
      <c r="M75" s="30"/>
      <c r="N75" s="30"/>
      <c r="O75" s="30"/>
      <c r="P75" s="30"/>
      <c r="Q75" s="482"/>
      <c r="R75" s="482"/>
      <c r="S75" s="482"/>
      <c r="T75" s="482"/>
      <c r="U75" s="482"/>
      <c r="V75" s="482"/>
      <c r="W75" s="482"/>
      <c r="X75" s="482"/>
      <c r="Y75" s="482"/>
      <c r="Z75" s="482"/>
      <c r="AA75" s="482"/>
      <c r="AB75" s="482"/>
      <c r="AC75" s="482"/>
      <c r="AD75" s="482"/>
      <c r="AE75" s="482"/>
      <c r="AF75" s="482"/>
      <c r="AG75" s="482"/>
      <c r="AH75" s="482"/>
      <c r="AI75" s="482"/>
      <c r="AJ75" s="482"/>
      <c r="AK75" s="482"/>
      <c r="AL75" s="482"/>
      <c r="AM75" s="482"/>
      <c r="AN75" s="482"/>
    </row>
    <row r="76" spans="1:40">
      <c r="A76" s="482"/>
      <c r="B76" s="209" t="s">
        <v>186</v>
      </c>
      <c r="C76" s="371">
        <f>C54*E65</f>
        <v>0</v>
      </c>
      <c r="D76" s="771">
        <f>C76*'Emission Factors'!$D$143</f>
        <v>0</v>
      </c>
      <c r="E76" s="15"/>
      <c r="F76" s="30"/>
      <c r="G76" s="30"/>
      <c r="H76" s="30"/>
      <c r="I76" s="30"/>
      <c r="J76" s="30"/>
      <c r="K76" s="30"/>
      <c r="L76" s="30"/>
      <c r="M76" s="30"/>
      <c r="N76" s="30"/>
      <c r="O76" s="30"/>
      <c r="P76" s="30"/>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row>
    <row r="77" spans="1:40">
      <c r="A77" s="482"/>
      <c r="B77" s="210" t="s">
        <v>190</v>
      </c>
      <c r="C77" s="372">
        <f>C55*E65</f>
        <v>3345.4247626325223</v>
      </c>
      <c r="D77" s="772">
        <f>C77*'Emission Factors'!$D$143</f>
        <v>3034.9191632887846</v>
      </c>
      <c r="E77" s="15"/>
      <c r="F77" s="30"/>
      <c r="G77" s="30"/>
      <c r="H77" s="30"/>
      <c r="I77" s="30"/>
      <c r="J77" s="30"/>
      <c r="K77" s="30"/>
      <c r="L77" s="30"/>
      <c r="M77" s="30"/>
      <c r="N77" s="30"/>
      <c r="O77" s="30"/>
      <c r="P77" s="30"/>
      <c r="Q77" s="482"/>
      <c r="R77" s="482"/>
      <c r="S77" s="482"/>
      <c r="T77" s="482"/>
      <c r="U77" s="482"/>
      <c r="V77" s="482"/>
      <c r="W77" s="482"/>
      <c r="X77" s="482"/>
      <c r="Y77" s="482"/>
      <c r="Z77" s="482"/>
      <c r="AA77" s="482"/>
      <c r="AB77" s="482"/>
      <c r="AC77" s="482"/>
      <c r="AD77" s="482"/>
      <c r="AE77" s="482"/>
      <c r="AF77" s="482"/>
      <c r="AG77" s="482"/>
      <c r="AH77" s="482"/>
      <c r="AI77" s="482"/>
      <c r="AJ77" s="482"/>
      <c r="AK77" s="482"/>
      <c r="AL77" s="482"/>
      <c r="AM77" s="482"/>
      <c r="AN77" s="482"/>
    </row>
    <row r="78" spans="1:40" s="24" customFormat="1" ht="13.9" thickBot="1">
      <c r="A78" s="30"/>
      <c r="B78" s="208" t="s">
        <v>1563</v>
      </c>
      <c r="C78" s="1436">
        <f>SUM(C76:C77)</f>
        <v>3345.4247626325223</v>
      </c>
      <c r="D78" s="1437">
        <f>SUM(D76:D77)</f>
        <v>3034.9191632887846</v>
      </c>
      <c r="E78" s="1323"/>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row>
    <row r="79" spans="1:40" s="24" customFormat="1" ht="28.5" customHeight="1" thickBot="1">
      <c r="A79" s="30"/>
      <c r="B79" s="2065" t="s">
        <v>1564</v>
      </c>
      <c r="C79" s="2066"/>
      <c r="D79" s="2067"/>
      <c r="E79" s="1323"/>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row>
    <row r="80" spans="1:40" s="24" customFormat="1" ht="12.75" customHeight="1" thickBot="1">
      <c r="A80" s="30"/>
      <c r="B80" s="15"/>
      <c r="C80" s="30"/>
      <c r="D80" s="16"/>
      <c r="E80" s="16"/>
      <c r="F80" s="17"/>
      <c r="G80" s="15"/>
      <c r="H80" s="1324"/>
      <c r="I80" s="15"/>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row>
    <row r="81" spans="1:42" s="24" customFormat="1" ht="20.25" customHeight="1" thickBot="1">
      <c r="A81" s="30"/>
      <c r="B81" s="1682" t="s">
        <v>1565</v>
      </c>
      <c r="C81" s="1715"/>
      <c r="D81" s="1715"/>
      <c r="E81" s="1715"/>
      <c r="F81" s="1715"/>
      <c r="G81" s="1715"/>
      <c r="H81" s="1716"/>
      <c r="I81" s="85"/>
      <c r="J81" s="86"/>
      <c r="K81" s="15"/>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row>
    <row r="82" spans="1:42" s="24" customFormat="1" ht="52.9">
      <c r="A82" s="30"/>
      <c r="B82" s="1178" t="s">
        <v>1497</v>
      </c>
      <c r="C82" s="1179" t="s">
        <v>1566</v>
      </c>
      <c r="D82" s="1179" t="s">
        <v>1567</v>
      </c>
      <c r="E82" s="1179" t="s">
        <v>1568</v>
      </c>
      <c r="F82" s="1179" t="s">
        <v>1569</v>
      </c>
      <c r="G82" s="1457" t="s">
        <v>1570</v>
      </c>
      <c r="H82" s="1467" t="s">
        <v>1499</v>
      </c>
      <c r="I82" s="85"/>
      <c r="J82" s="1324"/>
      <c r="K82" s="15"/>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row>
    <row r="83" spans="1:42" s="24" customFormat="1" ht="29.25" customHeight="1">
      <c r="A83" s="30"/>
      <c r="B83" s="1470" t="s">
        <v>1502</v>
      </c>
      <c r="C83" s="953" t="s">
        <v>1571</v>
      </c>
      <c r="D83" s="953" t="s">
        <v>1572</v>
      </c>
      <c r="E83" s="953" t="s">
        <v>1573</v>
      </c>
      <c r="F83" s="953" t="s">
        <v>1574</v>
      </c>
      <c r="G83" s="369" t="s">
        <v>1575</v>
      </c>
      <c r="H83" s="1325" t="s">
        <v>1504</v>
      </c>
      <c r="I83" s="15"/>
      <c r="J83" s="1324"/>
      <c r="K83" s="15"/>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row>
    <row r="84" spans="1:42" s="24" customFormat="1" ht="13.9" thickBot="1">
      <c r="A84" s="30"/>
      <c r="B84" s="81" t="s">
        <v>355</v>
      </c>
      <c r="C84" s="1432">
        <v>1</v>
      </c>
      <c r="D84" s="1438">
        <f>(F90*G90)+(F91*G91)+(F92*G92)+(F93*G93)+(F94*G94)+(F95*G95)</f>
        <v>0.17545014990148716</v>
      </c>
      <c r="E84" s="1439">
        <v>0.6</v>
      </c>
      <c r="F84" s="1439">
        <v>0.5</v>
      </c>
      <c r="G84" s="1326">
        <f>16/12</f>
        <v>1.3333333333333333</v>
      </c>
      <c r="H84" s="1440">
        <f>C84*D84*E84*F84*G84</f>
        <v>7.0180059960594857E-2</v>
      </c>
      <c r="I84" s="15"/>
      <c r="J84" s="1324"/>
      <c r="K84" s="15"/>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row>
    <row r="85" spans="1:42" s="24" customFormat="1" ht="69.75" customHeight="1" thickBot="1">
      <c r="A85" s="30"/>
      <c r="B85" s="1912" t="s">
        <v>1576</v>
      </c>
      <c r="C85" s="1927"/>
      <c r="D85" s="1927"/>
      <c r="E85" s="1667"/>
      <c r="F85" s="30"/>
      <c r="G85" s="30"/>
      <c r="H85" s="30"/>
      <c r="I85" s="30"/>
      <c r="J85" s="30"/>
      <c r="K85" s="30"/>
      <c r="L85" s="30"/>
      <c r="M85" s="30"/>
      <c r="N85" s="482"/>
      <c r="O85" s="482"/>
      <c r="P85" s="482"/>
      <c r="Q85" s="482"/>
      <c r="R85" s="482"/>
      <c r="S85" s="482"/>
      <c r="T85" s="482"/>
      <c r="U85" s="482"/>
      <c r="V85" s="482"/>
      <c r="W85" s="482"/>
      <c r="X85" s="482"/>
      <c r="Y85" s="482"/>
      <c r="Z85" s="482"/>
      <c r="AA85" s="482"/>
      <c r="AB85" s="482"/>
      <c r="AC85" s="482"/>
      <c r="AD85" s="482"/>
      <c r="AE85" s="482"/>
      <c r="AF85" s="482"/>
      <c r="AG85" s="482"/>
      <c r="AH85" s="482"/>
      <c r="AI85" s="482"/>
      <c r="AJ85" s="482"/>
      <c r="AK85" s="482"/>
      <c r="AL85" s="482"/>
      <c r="AM85" s="482"/>
      <c r="AN85" s="482"/>
      <c r="AO85" s="30"/>
      <c r="AP85" s="30"/>
    </row>
    <row r="86" spans="1:42" s="24" customFormat="1">
      <c r="A86" s="30"/>
      <c r="B86" s="30"/>
      <c r="C86" s="30"/>
      <c r="D86" s="30"/>
      <c r="E86" s="30"/>
      <c r="F86" s="30"/>
      <c r="G86" s="30"/>
      <c r="H86" s="30"/>
      <c r="I86" s="30"/>
      <c r="J86" s="30"/>
      <c r="K86" s="30"/>
      <c r="L86" s="30"/>
      <c r="M86" s="30"/>
      <c r="N86" s="482"/>
      <c r="O86" s="482"/>
      <c r="P86" s="482"/>
      <c r="Q86" s="482"/>
      <c r="R86" s="482"/>
      <c r="S86" s="482"/>
      <c r="T86" s="482"/>
      <c r="U86" s="482"/>
      <c r="V86" s="482"/>
      <c r="W86" s="482"/>
      <c r="X86" s="482"/>
      <c r="Y86" s="482"/>
      <c r="Z86" s="482"/>
      <c r="AA86" s="482"/>
      <c r="AB86" s="482"/>
      <c r="AC86" s="482"/>
      <c r="AD86" s="482"/>
      <c r="AE86" s="482"/>
      <c r="AF86" s="482"/>
      <c r="AG86" s="482"/>
      <c r="AH86" s="482"/>
      <c r="AI86" s="482"/>
      <c r="AJ86" s="482"/>
      <c r="AK86" s="482"/>
      <c r="AL86" s="482"/>
      <c r="AM86" s="482"/>
      <c r="AN86" s="482"/>
      <c r="AO86" s="30"/>
      <c r="AP86" s="30"/>
    </row>
    <row r="87" spans="1:42" s="24" customFormat="1" ht="345" customHeight="1" thickBot="1">
      <c r="A87" s="30"/>
      <c r="B87" s="30"/>
      <c r="C87" s="30"/>
      <c r="D87" s="30"/>
      <c r="E87" s="30"/>
      <c r="F87" s="30"/>
      <c r="G87" s="30"/>
      <c r="H87" s="30"/>
      <c r="I87" s="30"/>
      <c r="J87" s="30"/>
      <c r="K87" s="30"/>
      <c r="L87" s="30"/>
      <c r="M87" s="30"/>
      <c r="N87" s="482"/>
      <c r="O87" s="482"/>
      <c r="P87" s="482"/>
      <c r="Q87" s="482"/>
      <c r="R87" s="482"/>
      <c r="S87" s="482"/>
      <c r="T87" s="482"/>
      <c r="U87" s="482"/>
      <c r="V87" s="482"/>
      <c r="W87" s="482"/>
      <c r="X87" s="482"/>
      <c r="Y87" s="482"/>
      <c r="Z87" s="482"/>
      <c r="AA87" s="482"/>
      <c r="AB87" s="482"/>
      <c r="AC87" s="482"/>
      <c r="AD87" s="482"/>
      <c r="AE87" s="482"/>
      <c r="AF87" s="482"/>
      <c r="AG87" s="482"/>
      <c r="AH87" s="482"/>
      <c r="AI87" s="482"/>
      <c r="AJ87" s="482"/>
      <c r="AK87" s="482"/>
      <c r="AL87" s="482"/>
      <c r="AM87" s="482"/>
      <c r="AN87" s="482"/>
      <c r="AO87" s="30"/>
      <c r="AP87" s="30"/>
    </row>
    <row r="88" spans="1:42" s="24" customFormat="1" ht="21.75" customHeight="1" thickBot="1">
      <c r="A88" s="30"/>
      <c r="B88" s="1682" t="s">
        <v>1577</v>
      </c>
      <c r="C88" s="2064"/>
      <c r="D88" s="2064"/>
      <c r="E88" s="2064"/>
      <c r="F88" s="1717"/>
      <c r="G88" s="1670"/>
      <c r="H88" s="30"/>
      <c r="I88" s="30"/>
      <c r="J88" s="30"/>
      <c r="K88" s="30"/>
      <c r="L88" s="30"/>
      <c r="M88" s="30"/>
      <c r="N88" s="482"/>
      <c r="O88" s="482"/>
      <c r="P88" s="482"/>
      <c r="Q88" s="482"/>
      <c r="R88" s="482"/>
      <c r="S88" s="482"/>
      <c r="T88" s="482"/>
      <c r="U88" s="482"/>
      <c r="V88" s="482"/>
      <c r="W88" s="482"/>
      <c r="X88" s="482"/>
      <c r="Y88" s="482"/>
      <c r="Z88" s="482"/>
      <c r="AA88" s="482"/>
      <c r="AB88" s="482"/>
      <c r="AC88" s="482"/>
      <c r="AD88" s="482"/>
      <c r="AE88" s="482"/>
      <c r="AF88" s="482"/>
      <c r="AG88" s="482"/>
      <c r="AH88" s="482"/>
      <c r="AI88" s="482"/>
      <c r="AJ88" s="482"/>
      <c r="AK88" s="482"/>
      <c r="AL88" s="482"/>
      <c r="AM88" s="482"/>
      <c r="AN88" s="482"/>
      <c r="AO88" s="30"/>
      <c r="AP88" s="30"/>
    </row>
    <row r="89" spans="1:42" s="24" customFormat="1" ht="79.150000000000006">
      <c r="A89" s="30"/>
      <c r="B89" s="82" t="s">
        <v>1578</v>
      </c>
      <c r="C89" s="83" t="s">
        <v>1579</v>
      </c>
      <c r="D89" s="83" t="s">
        <v>1580</v>
      </c>
      <c r="E89" s="83" t="s">
        <v>1581</v>
      </c>
      <c r="F89" s="507" t="s">
        <v>1582</v>
      </c>
      <c r="G89" s="84" t="s">
        <v>1583</v>
      </c>
      <c r="H89" s="16"/>
      <c r="I89" s="30"/>
      <c r="J89" s="30"/>
      <c r="K89" s="30"/>
      <c r="L89" s="30"/>
      <c r="M89" s="30"/>
      <c r="N89" s="30"/>
      <c r="O89" s="30"/>
      <c r="P89" s="482"/>
      <c r="Q89" s="482"/>
      <c r="R89" s="482"/>
      <c r="S89" s="482"/>
      <c r="T89" s="482"/>
      <c r="U89" s="482"/>
      <c r="V89" s="482"/>
      <c r="W89" s="482"/>
      <c r="X89" s="482"/>
      <c r="Y89" s="482"/>
      <c r="Z89" s="482"/>
      <c r="AA89" s="482"/>
      <c r="AB89" s="482"/>
      <c r="AC89" s="482"/>
      <c r="AD89" s="482"/>
      <c r="AE89" s="482"/>
      <c r="AF89" s="482"/>
      <c r="AG89" s="482"/>
      <c r="AH89" s="482"/>
      <c r="AI89" s="482"/>
      <c r="AJ89" s="482"/>
      <c r="AK89" s="482"/>
      <c r="AL89" s="482"/>
      <c r="AM89" s="482"/>
      <c r="AN89" s="482"/>
      <c r="AO89" s="482"/>
      <c r="AP89" s="482"/>
    </row>
    <row r="90" spans="1:42" s="24" customFormat="1">
      <c r="A90" s="30"/>
      <c r="B90" s="337" t="s">
        <v>174</v>
      </c>
      <c r="C90" s="437" t="s">
        <v>1584</v>
      </c>
      <c r="D90" s="783" t="str">
        <f>IF(Inputs!$C$304="Yes",Inputs!C309,"Default to State Data")</f>
        <v>Default to State Data</v>
      </c>
      <c r="E90" s="782">
        <f>SUMIF($D$101:$D$172,"Food",$C$101:$C$172)</f>
        <v>0.21627344677402049</v>
      </c>
      <c r="F90" s="783">
        <f>IF(Inputs!$C$304="Yes",D90,E90)</f>
        <v>0.21627344677402049</v>
      </c>
      <c r="G90" s="948">
        <v>0.15</v>
      </c>
      <c r="H90" s="30"/>
      <c r="I90" s="30"/>
      <c r="J90" s="30"/>
      <c r="K90" s="30"/>
      <c r="L90" s="30"/>
      <c r="M90" s="30"/>
      <c r="N90" s="30"/>
      <c r="O90" s="30"/>
      <c r="P90" s="482"/>
      <c r="Q90" s="482"/>
      <c r="R90" s="482"/>
      <c r="S90" s="482"/>
      <c r="T90" s="482"/>
      <c r="U90" s="482"/>
      <c r="V90" s="482"/>
      <c r="W90" s="482"/>
      <c r="X90" s="482"/>
      <c r="Y90" s="482"/>
      <c r="Z90" s="482"/>
      <c r="AA90" s="482"/>
      <c r="AB90" s="482"/>
      <c r="AC90" s="482"/>
      <c r="AD90" s="482"/>
      <c r="AE90" s="482"/>
      <c r="AF90" s="482"/>
      <c r="AG90" s="482"/>
      <c r="AH90" s="482"/>
      <c r="AI90" s="482"/>
      <c r="AJ90" s="482"/>
      <c r="AK90" s="482"/>
      <c r="AL90" s="482"/>
      <c r="AM90" s="482"/>
      <c r="AN90" s="482"/>
      <c r="AO90" s="482"/>
      <c r="AP90" s="482"/>
    </row>
    <row r="91" spans="1:42" s="24" customFormat="1">
      <c r="A91" s="30"/>
      <c r="B91" s="337" t="s">
        <v>175</v>
      </c>
      <c r="C91" s="437" t="s">
        <v>1585</v>
      </c>
      <c r="D91" s="783" t="str">
        <f>IF(Inputs!$C$304="Yes",Inputs!C310,"Default to State Data")</f>
        <v>Default to State Data</v>
      </c>
      <c r="E91" s="782">
        <f>SUMIF($D$101:$D$172,"Garden Waste and Plant Debris",$C$101:$C$172)</f>
        <v>7.9803692574325416E-2</v>
      </c>
      <c r="F91" s="783">
        <f>IF(Inputs!$C$304="Yes",D91,E91)</f>
        <v>7.9803692574325416E-2</v>
      </c>
      <c r="G91" s="948">
        <v>0.2</v>
      </c>
      <c r="H91" s="30"/>
      <c r="I91" s="30"/>
      <c r="J91" s="30"/>
      <c r="K91" s="30"/>
      <c r="L91" s="30"/>
      <c r="M91" s="30"/>
      <c r="N91" s="30"/>
      <c r="O91" s="30"/>
      <c r="P91" s="482"/>
      <c r="Q91" s="482"/>
      <c r="R91" s="482"/>
      <c r="S91" s="482"/>
      <c r="T91" s="482"/>
      <c r="U91" s="482"/>
      <c r="V91" s="482"/>
      <c r="W91" s="482"/>
      <c r="X91" s="482"/>
      <c r="Y91" s="482"/>
      <c r="Z91" s="482"/>
      <c r="AA91" s="482"/>
      <c r="AB91" s="482"/>
      <c r="AC91" s="482"/>
      <c r="AD91" s="482"/>
      <c r="AE91" s="482"/>
      <c r="AF91" s="482"/>
      <c r="AG91" s="482"/>
      <c r="AH91" s="482"/>
      <c r="AI91" s="482"/>
      <c r="AJ91" s="482"/>
      <c r="AK91" s="482"/>
      <c r="AL91" s="482"/>
      <c r="AM91" s="482"/>
      <c r="AN91" s="482"/>
      <c r="AO91" s="482"/>
      <c r="AP91" s="482"/>
    </row>
    <row r="92" spans="1:42" s="24" customFormat="1">
      <c r="A92" s="30"/>
      <c r="B92" s="337" t="s">
        <v>176</v>
      </c>
      <c r="C92" s="437" t="s">
        <v>1586</v>
      </c>
      <c r="D92" s="783" t="str">
        <f>IF(Inputs!$C$304="Yes",Inputs!C311,"Default to State Data")</f>
        <v>Default to State Data</v>
      </c>
      <c r="E92" s="782">
        <f>SUMIF($D$101:$D$172,"Paper",$C$101:$C$172)</f>
        <v>0.21837617212513694</v>
      </c>
      <c r="F92" s="783">
        <f>IF(Inputs!$C$304="Yes",D92,E92)</f>
        <v>0.21837617212513694</v>
      </c>
      <c r="G92" s="948">
        <v>0.4</v>
      </c>
      <c r="H92" s="30"/>
      <c r="I92" s="30"/>
      <c r="J92" s="30"/>
      <c r="K92" s="30"/>
      <c r="L92" s="30"/>
      <c r="M92" s="30"/>
      <c r="N92" s="30"/>
      <c r="O92" s="30"/>
      <c r="P92" s="482"/>
      <c r="Q92" s="482"/>
      <c r="R92" s="482"/>
      <c r="S92" s="482"/>
      <c r="T92" s="482"/>
      <c r="U92" s="482"/>
      <c r="V92" s="482"/>
      <c r="W92" s="482"/>
      <c r="X92" s="482"/>
      <c r="Y92" s="482"/>
      <c r="Z92" s="482"/>
      <c r="AA92" s="482"/>
      <c r="AB92" s="482"/>
      <c r="AC92" s="482"/>
      <c r="AD92" s="482"/>
      <c r="AE92" s="482"/>
      <c r="AF92" s="482"/>
      <c r="AG92" s="482"/>
      <c r="AH92" s="482"/>
      <c r="AI92" s="482"/>
      <c r="AJ92" s="482"/>
      <c r="AK92" s="482"/>
      <c r="AL92" s="482"/>
      <c r="AM92" s="482"/>
      <c r="AN92" s="482"/>
      <c r="AO92" s="482"/>
      <c r="AP92" s="482"/>
    </row>
    <row r="93" spans="1:42" s="24" customFormat="1">
      <c r="A93" s="30"/>
      <c r="B93" s="337" t="s">
        <v>177</v>
      </c>
      <c r="C93" s="437" t="s">
        <v>1587</v>
      </c>
      <c r="D93" s="783" t="str">
        <f>IF(Inputs!$C$304="Yes",Inputs!C312,"Default to State Data")</f>
        <v>Default to State Data</v>
      </c>
      <c r="E93" s="782">
        <f>SUMIF($D$101:$D$172,"Wood",$C$101:$C$172)</f>
        <v>6.3529540184560376E-2</v>
      </c>
      <c r="F93" s="783">
        <f>IF(Inputs!$C$304="Yes",D93,E93)</f>
        <v>6.3529540184560376E-2</v>
      </c>
      <c r="G93" s="948">
        <v>0.43</v>
      </c>
      <c r="H93" s="30"/>
      <c r="I93" s="30"/>
      <c r="J93" s="30"/>
      <c r="K93" s="30"/>
      <c r="L93" s="30"/>
      <c r="M93" s="30"/>
      <c r="N93" s="30"/>
      <c r="O93" s="30"/>
      <c r="P93" s="482"/>
      <c r="Q93" s="482"/>
      <c r="R93" s="482"/>
      <c r="S93" s="482"/>
      <c r="T93" s="482"/>
      <c r="U93" s="482"/>
      <c r="V93" s="482"/>
      <c r="W93" s="482"/>
      <c r="X93" s="482"/>
      <c r="Y93" s="482"/>
      <c r="Z93" s="482"/>
      <c r="AA93" s="482"/>
      <c r="AB93" s="482"/>
      <c r="AC93" s="482"/>
      <c r="AD93" s="482"/>
      <c r="AE93" s="482"/>
      <c r="AF93" s="482"/>
      <c r="AG93" s="482"/>
      <c r="AH93" s="482"/>
      <c r="AI93" s="482"/>
      <c r="AJ93" s="482"/>
      <c r="AK93" s="482"/>
      <c r="AL93" s="482"/>
      <c r="AM93" s="482"/>
      <c r="AN93" s="482"/>
      <c r="AO93" s="482"/>
      <c r="AP93" s="482"/>
    </row>
    <row r="94" spans="1:42" s="24" customFormat="1">
      <c r="A94" s="30"/>
      <c r="B94" s="337" t="s">
        <v>178</v>
      </c>
      <c r="C94" s="437" t="s">
        <v>1588</v>
      </c>
      <c r="D94" s="783" t="str">
        <f>IF(Inputs!$C$304="Yes",Inputs!C313,"Default to State Data")</f>
        <v>Default to State Data</v>
      </c>
      <c r="E94" s="782">
        <f>SUMIF($D$101:$D$172,"Textiles",$C$101:$C$172)</f>
        <v>5.1584263504596918E-2</v>
      </c>
      <c r="F94" s="783">
        <f>IF(Inputs!$C$304="Yes",D94,E94)</f>
        <v>5.1584263504596918E-2</v>
      </c>
      <c r="G94" s="948">
        <v>0.24</v>
      </c>
      <c r="H94" s="30"/>
      <c r="I94" s="30"/>
      <c r="J94" s="30"/>
      <c r="K94" s="30"/>
      <c r="L94" s="30"/>
      <c r="M94" s="30"/>
      <c r="N94" s="30"/>
      <c r="O94" s="30"/>
      <c r="P94" s="482"/>
      <c r="Q94" s="482"/>
      <c r="R94" s="482"/>
      <c r="S94" s="482"/>
      <c r="T94" s="482"/>
      <c r="U94" s="482"/>
      <c r="V94" s="482"/>
      <c r="W94" s="482"/>
      <c r="X94" s="482"/>
      <c r="Y94" s="482"/>
      <c r="Z94" s="482"/>
      <c r="AA94" s="482"/>
      <c r="AB94" s="482"/>
      <c r="AC94" s="482"/>
      <c r="AD94" s="482"/>
      <c r="AE94" s="482"/>
      <c r="AF94" s="482"/>
      <c r="AG94" s="482"/>
      <c r="AH94" s="482"/>
      <c r="AI94" s="482"/>
      <c r="AJ94" s="482"/>
      <c r="AK94" s="482"/>
      <c r="AL94" s="482"/>
      <c r="AM94" s="482"/>
      <c r="AN94" s="482"/>
      <c r="AO94" s="482"/>
      <c r="AP94" s="482"/>
    </row>
    <row r="95" spans="1:42" s="24" customFormat="1" ht="13.9" thickBot="1">
      <c r="A95" s="30"/>
      <c r="B95" s="477" t="s">
        <v>179</v>
      </c>
      <c r="C95" s="1441" t="s">
        <v>1574</v>
      </c>
      <c r="D95" s="1442" t="str">
        <f>IF(Inputs!$C$304="Yes",Inputs!C314,"Default to State Data")</f>
        <v>Default to State Data</v>
      </c>
      <c r="E95" s="1443">
        <f>SUMIF($D$101:$D$172,"Industrial Waste",$C$101:$C$172)</f>
        <v>0</v>
      </c>
      <c r="F95" s="783">
        <f>IF(Inputs!$C$304="Yes",D95,E95)</f>
        <v>0</v>
      </c>
      <c r="G95" s="1440">
        <v>0.15</v>
      </c>
      <c r="H95" s="30"/>
      <c r="I95" s="30"/>
      <c r="J95" s="30"/>
      <c r="K95" s="30"/>
      <c r="L95" s="30"/>
      <c r="M95" s="30"/>
      <c r="N95" s="30"/>
      <c r="O95" s="30"/>
      <c r="P95" s="482"/>
      <c r="Q95" s="482"/>
      <c r="R95" s="482"/>
      <c r="S95" s="482"/>
      <c r="T95" s="482"/>
      <c r="U95" s="482"/>
      <c r="V95" s="482"/>
      <c r="W95" s="482"/>
      <c r="X95" s="482"/>
      <c r="Y95" s="482"/>
      <c r="Z95" s="482"/>
      <c r="AA95" s="482"/>
      <c r="AB95" s="482"/>
      <c r="AC95" s="482"/>
      <c r="AD95" s="482"/>
      <c r="AE95" s="482"/>
      <c r="AF95" s="482"/>
      <c r="AG95" s="482"/>
      <c r="AH95" s="482"/>
      <c r="AI95" s="482"/>
      <c r="AJ95" s="482"/>
      <c r="AK95" s="482"/>
      <c r="AL95" s="482"/>
      <c r="AM95" s="482"/>
      <c r="AN95" s="482"/>
      <c r="AO95" s="482"/>
      <c r="AP95" s="482"/>
    </row>
    <row r="96" spans="1:42" s="24" customFormat="1" ht="34.5" customHeight="1" thickBot="1">
      <c r="A96" s="30"/>
      <c r="B96" s="2068" t="s">
        <v>1589</v>
      </c>
      <c r="C96" s="1927"/>
      <c r="D96" s="1667"/>
      <c r="E96" s="30"/>
      <c r="F96" s="89"/>
      <c r="G96" s="30"/>
      <c r="H96" s="30"/>
      <c r="I96" s="30"/>
      <c r="J96" s="30"/>
      <c r="K96" s="30"/>
      <c r="L96" s="30"/>
      <c r="M96" s="30"/>
      <c r="N96" s="482"/>
      <c r="O96" s="482"/>
      <c r="P96" s="482"/>
      <c r="Q96" s="482"/>
      <c r="R96" s="482"/>
      <c r="S96" s="482"/>
      <c r="T96" s="482"/>
      <c r="U96" s="482"/>
      <c r="V96" s="482"/>
      <c r="W96" s="482"/>
      <c r="X96" s="482"/>
      <c r="Y96" s="482"/>
      <c r="Z96" s="482"/>
      <c r="AA96" s="482"/>
      <c r="AB96" s="482"/>
      <c r="AC96" s="482"/>
      <c r="AD96" s="482"/>
      <c r="AE96" s="482"/>
      <c r="AF96" s="482"/>
      <c r="AG96" s="482"/>
      <c r="AH96" s="482"/>
      <c r="AI96" s="482"/>
      <c r="AJ96" s="482"/>
      <c r="AK96" s="482"/>
      <c r="AL96" s="482"/>
      <c r="AM96" s="482"/>
      <c r="AN96" s="482"/>
      <c r="AO96" s="30"/>
      <c r="AP96" s="30"/>
    </row>
    <row r="97" spans="1:42" s="24" customFormat="1" ht="13.9" thickBot="1">
      <c r="A97" s="30"/>
      <c r="B97" s="30"/>
      <c r="C97" s="30"/>
      <c r="D97" s="30"/>
      <c r="E97" s="30"/>
      <c r="F97" s="30"/>
      <c r="G97" s="30"/>
      <c r="H97" s="30"/>
      <c r="I97" s="30"/>
      <c r="J97" s="30"/>
      <c r="K97" s="30"/>
      <c r="L97" s="30"/>
      <c r="M97" s="30"/>
      <c r="N97" s="482"/>
      <c r="O97" s="482"/>
      <c r="P97" s="482"/>
      <c r="Q97" s="482"/>
      <c r="R97" s="482"/>
      <c r="S97" s="482"/>
      <c r="T97" s="482"/>
      <c r="U97" s="482"/>
      <c r="V97" s="482"/>
      <c r="W97" s="482"/>
      <c r="X97" s="482"/>
      <c r="Y97" s="482"/>
      <c r="Z97" s="482"/>
      <c r="AA97" s="482"/>
      <c r="AB97" s="482"/>
      <c r="AC97" s="482"/>
      <c r="AD97" s="482"/>
      <c r="AE97" s="482"/>
      <c r="AF97" s="482"/>
      <c r="AG97" s="482"/>
      <c r="AH97" s="482"/>
      <c r="AI97" s="482"/>
      <c r="AJ97" s="482"/>
      <c r="AK97" s="482"/>
      <c r="AL97" s="482"/>
      <c r="AM97" s="482"/>
      <c r="AN97" s="482"/>
      <c r="AO97" s="30"/>
      <c r="AP97" s="30"/>
    </row>
    <row r="98" spans="1:42" s="24" customFormat="1" ht="19.5" customHeight="1" thickBot="1">
      <c r="A98" s="30"/>
      <c r="B98" s="1710" t="s">
        <v>1590</v>
      </c>
      <c r="C98" s="1926"/>
      <c r="D98" s="2063"/>
      <c r="E98" s="481"/>
      <c r="F98" s="30"/>
      <c r="G98" s="30"/>
      <c r="H98" s="30"/>
      <c r="I98" s="30"/>
      <c r="J98" s="30"/>
      <c r="K98" s="30"/>
      <c r="L98" s="30"/>
      <c r="M98" s="30"/>
      <c r="N98" s="482"/>
      <c r="O98" s="482"/>
      <c r="P98" s="482"/>
      <c r="Q98" s="482"/>
      <c r="R98" s="482"/>
      <c r="S98" s="482"/>
      <c r="T98" s="482"/>
      <c r="U98" s="482"/>
      <c r="V98" s="482"/>
      <c r="W98" s="482"/>
      <c r="X98" s="482"/>
      <c r="Y98" s="482"/>
      <c r="Z98" s="482"/>
      <c r="AA98" s="482"/>
      <c r="AB98" s="482"/>
      <c r="AC98" s="482"/>
      <c r="AD98" s="482"/>
      <c r="AE98" s="482"/>
      <c r="AF98" s="482"/>
      <c r="AG98" s="482"/>
      <c r="AH98" s="482"/>
      <c r="AI98" s="482"/>
      <c r="AJ98" s="482"/>
      <c r="AK98" s="482"/>
      <c r="AL98" s="482"/>
      <c r="AM98" s="482"/>
      <c r="AN98" s="482"/>
      <c r="AO98" s="30"/>
      <c r="AP98" s="30"/>
    </row>
    <row r="99" spans="1:42" s="24" customFormat="1" ht="24.75" customHeight="1">
      <c r="A99" s="30"/>
      <c r="B99" s="82" t="s">
        <v>1591</v>
      </c>
      <c r="C99" s="83" t="s">
        <v>1592</v>
      </c>
      <c r="D99" s="84" t="s">
        <v>172</v>
      </c>
      <c r="E99" s="1500"/>
      <c r="F99" s="30"/>
      <c r="G99" s="30"/>
      <c r="H99" s="482"/>
      <c r="I99" s="482"/>
      <c r="J99" s="482"/>
      <c r="K99" s="482"/>
      <c r="L99" s="482"/>
      <c r="M99" s="482"/>
      <c r="N99" s="482"/>
      <c r="O99" s="482"/>
      <c r="P99" s="482"/>
      <c r="Q99" s="482"/>
      <c r="R99" s="482"/>
      <c r="S99" s="482"/>
      <c r="T99" s="482"/>
      <c r="U99" s="482"/>
      <c r="V99" s="482"/>
      <c r="W99" s="482"/>
      <c r="X99" s="482"/>
      <c r="Y99" s="482"/>
      <c r="Z99" s="482"/>
      <c r="AA99" s="482"/>
      <c r="AB99" s="482"/>
      <c r="AC99" s="482"/>
      <c r="AD99" s="482"/>
      <c r="AE99" s="482"/>
      <c r="AF99" s="482"/>
      <c r="AG99" s="482"/>
      <c r="AH99" s="482"/>
      <c r="AI99" s="30"/>
      <c r="AJ99" s="30"/>
      <c r="AK99" s="30"/>
      <c r="AL99" s="30"/>
      <c r="AM99" s="30"/>
      <c r="AN99" s="30"/>
      <c r="AO99" s="30"/>
      <c r="AP99" s="30"/>
    </row>
    <row r="100" spans="1:42" s="24" customFormat="1">
      <c r="A100" s="30"/>
      <c r="B100" s="483" t="s">
        <v>176</v>
      </c>
      <c r="C100" s="817"/>
      <c r="D100" s="819"/>
      <c r="E100" s="1501"/>
      <c r="F100" s="30"/>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c r="AE100" s="482"/>
      <c r="AF100" s="482"/>
      <c r="AG100" s="482"/>
      <c r="AH100" s="30"/>
      <c r="AI100" s="30"/>
      <c r="AJ100" s="30"/>
      <c r="AK100" s="30"/>
      <c r="AL100" s="30"/>
      <c r="AM100" s="30"/>
      <c r="AN100" s="30"/>
      <c r="AO100" s="30"/>
      <c r="AP100" s="30"/>
    </row>
    <row r="101" spans="1:42" s="24" customFormat="1">
      <c r="A101" s="30"/>
      <c r="B101" s="484" t="s">
        <v>1593</v>
      </c>
      <c r="C101" s="949">
        <v>5.7852964372042993E-2</v>
      </c>
      <c r="D101" s="485" t="s">
        <v>176</v>
      </c>
      <c r="E101" s="1501"/>
      <c r="F101" s="1322"/>
      <c r="G101" s="482"/>
      <c r="H101" s="482"/>
      <c r="I101" s="482"/>
      <c r="J101" s="482"/>
      <c r="K101" s="482"/>
      <c r="L101" s="482"/>
      <c r="M101" s="482"/>
      <c r="N101" s="482"/>
      <c r="O101" s="482"/>
      <c r="P101" s="482"/>
      <c r="Q101" s="482"/>
      <c r="R101" s="482"/>
      <c r="S101" s="482"/>
      <c r="T101" s="482"/>
      <c r="U101" s="482"/>
      <c r="V101" s="482"/>
      <c r="W101" s="482"/>
      <c r="X101" s="482"/>
      <c r="Y101" s="482"/>
      <c r="Z101" s="482"/>
      <c r="AA101" s="482"/>
      <c r="AB101" s="482"/>
      <c r="AC101" s="482"/>
      <c r="AD101" s="482"/>
      <c r="AE101" s="482"/>
      <c r="AF101" s="482"/>
      <c r="AG101" s="482"/>
      <c r="AH101" s="30"/>
      <c r="AI101" s="30"/>
      <c r="AJ101" s="30"/>
      <c r="AK101" s="30"/>
      <c r="AL101" s="30"/>
      <c r="AM101" s="30"/>
      <c r="AN101" s="30"/>
      <c r="AO101" s="30"/>
      <c r="AP101" s="30"/>
    </row>
    <row r="102" spans="1:42" s="24" customFormat="1">
      <c r="A102" s="30"/>
      <c r="B102" s="486" t="s">
        <v>1594</v>
      </c>
      <c r="C102" s="950">
        <v>4.7169589020687351E-3</v>
      </c>
      <c r="D102" s="487" t="s">
        <v>176</v>
      </c>
      <c r="E102" s="1501"/>
      <c r="F102" s="30"/>
      <c r="G102" s="482"/>
      <c r="H102" s="482"/>
      <c r="I102" s="482"/>
      <c r="J102" s="482"/>
      <c r="K102" s="482"/>
      <c r="L102" s="482"/>
      <c r="M102" s="482"/>
      <c r="N102" s="482"/>
      <c r="O102" s="482"/>
      <c r="P102" s="482"/>
      <c r="Q102" s="482"/>
      <c r="R102" s="482"/>
      <c r="S102" s="482"/>
      <c r="T102" s="482"/>
      <c r="U102" s="482"/>
      <c r="V102" s="482"/>
      <c r="W102" s="482"/>
      <c r="X102" s="482"/>
      <c r="Y102" s="482"/>
      <c r="Z102" s="482"/>
      <c r="AA102" s="482"/>
      <c r="AB102" s="482"/>
      <c r="AC102" s="482"/>
      <c r="AD102" s="482"/>
      <c r="AE102" s="482"/>
      <c r="AF102" s="482"/>
      <c r="AG102" s="482"/>
      <c r="AH102" s="30"/>
      <c r="AI102" s="30"/>
      <c r="AJ102" s="30"/>
      <c r="AK102" s="30"/>
      <c r="AL102" s="30"/>
      <c r="AM102" s="30"/>
      <c r="AN102" s="30"/>
      <c r="AO102" s="30"/>
      <c r="AP102" s="30"/>
    </row>
    <row r="103" spans="1:42" s="24" customFormat="1">
      <c r="A103" s="30"/>
      <c r="B103" s="486" t="s">
        <v>1595</v>
      </c>
      <c r="C103" s="950">
        <v>5.3784119852849218E-3</v>
      </c>
      <c r="D103" s="487" t="s">
        <v>176</v>
      </c>
      <c r="E103" s="1501"/>
      <c r="F103" s="30"/>
      <c r="G103" s="482"/>
      <c r="H103" s="482"/>
      <c r="I103" s="482"/>
      <c r="J103" s="482"/>
      <c r="K103" s="482"/>
      <c r="L103" s="482"/>
      <c r="M103" s="482"/>
      <c r="N103" s="482"/>
      <c r="O103" s="482"/>
      <c r="P103" s="482"/>
      <c r="Q103" s="482"/>
      <c r="R103" s="482"/>
      <c r="S103" s="482"/>
      <c r="T103" s="482"/>
      <c r="U103" s="482"/>
      <c r="V103" s="482"/>
      <c r="W103" s="482"/>
      <c r="X103" s="482"/>
      <c r="Y103" s="482"/>
      <c r="Z103" s="482"/>
      <c r="AA103" s="482"/>
      <c r="AB103" s="482"/>
      <c r="AC103" s="482"/>
      <c r="AD103" s="482"/>
      <c r="AE103" s="482"/>
      <c r="AF103" s="482"/>
      <c r="AG103" s="482"/>
      <c r="AH103" s="30"/>
      <c r="AI103" s="30"/>
      <c r="AJ103" s="30"/>
      <c r="AK103" s="30"/>
      <c r="AL103" s="30"/>
      <c r="AM103" s="30"/>
      <c r="AN103" s="30"/>
      <c r="AO103" s="30"/>
      <c r="AP103" s="30"/>
    </row>
    <row r="104" spans="1:42" s="24" customFormat="1">
      <c r="A104" s="30"/>
      <c r="B104" s="486" t="s">
        <v>1596</v>
      </c>
      <c r="C104" s="950">
        <v>4.2465493169024527E-3</v>
      </c>
      <c r="D104" s="487" t="s">
        <v>176</v>
      </c>
      <c r="E104" s="1501"/>
      <c r="F104" s="30"/>
      <c r="G104" s="482"/>
      <c r="H104" s="482"/>
      <c r="I104" s="482"/>
      <c r="J104" s="482"/>
      <c r="K104" s="482"/>
      <c r="L104" s="482"/>
      <c r="M104" s="482"/>
      <c r="N104" s="482"/>
      <c r="O104" s="482"/>
      <c r="P104" s="482"/>
      <c r="Q104" s="482"/>
      <c r="R104" s="482"/>
      <c r="S104" s="482"/>
      <c r="T104" s="482"/>
      <c r="U104" s="482"/>
      <c r="V104" s="482"/>
      <c r="W104" s="482"/>
      <c r="X104" s="482"/>
      <c r="Y104" s="482"/>
      <c r="Z104" s="482"/>
      <c r="AA104" s="482"/>
      <c r="AB104" s="482"/>
      <c r="AC104" s="482"/>
      <c r="AD104" s="482"/>
      <c r="AE104" s="482"/>
      <c r="AF104" s="482"/>
      <c r="AG104" s="482"/>
      <c r="AH104" s="30"/>
      <c r="AI104" s="30"/>
      <c r="AJ104" s="30"/>
      <c r="AK104" s="30"/>
      <c r="AL104" s="30"/>
      <c r="AM104" s="30"/>
      <c r="AN104" s="30"/>
      <c r="AO104" s="30"/>
      <c r="AP104" s="30"/>
    </row>
    <row r="105" spans="1:42" s="24" customFormat="1">
      <c r="A105" s="30"/>
      <c r="B105" s="486" t="s">
        <v>1597</v>
      </c>
      <c r="C105" s="950">
        <v>2.9273239702281408E-3</v>
      </c>
      <c r="D105" s="487" t="s">
        <v>176</v>
      </c>
      <c r="E105" s="1501"/>
      <c r="F105" s="30"/>
      <c r="G105" s="482"/>
      <c r="H105" s="482"/>
      <c r="I105" s="482"/>
      <c r="J105" s="482"/>
      <c r="K105" s="482"/>
      <c r="L105" s="482"/>
      <c r="M105" s="482"/>
      <c r="N105" s="482"/>
      <c r="O105" s="482"/>
      <c r="P105" s="482"/>
      <c r="Q105" s="482"/>
      <c r="R105" s="482"/>
      <c r="S105" s="482"/>
      <c r="T105" s="482"/>
      <c r="U105" s="482"/>
      <c r="V105" s="482"/>
      <c r="W105" s="482"/>
      <c r="X105" s="482"/>
      <c r="Y105" s="482"/>
      <c r="Z105" s="482"/>
      <c r="AA105" s="482"/>
      <c r="AB105" s="482"/>
      <c r="AC105" s="482"/>
      <c r="AD105" s="482"/>
      <c r="AE105" s="482"/>
      <c r="AF105" s="482"/>
      <c r="AG105" s="482"/>
      <c r="AH105" s="30"/>
      <c r="AI105" s="30"/>
      <c r="AJ105" s="30"/>
      <c r="AK105" s="30"/>
      <c r="AL105" s="30"/>
      <c r="AM105" s="30"/>
      <c r="AN105" s="30"/>
      <c r="AO105" s="30"/>
      <c r="AP105" s="30"/>
    </row>
    <row r="106" spans="1:42" s="24" customFormat="1">
      <c r="A106" s="30"/>
      <c r="B106" s="486" t="s">
        <v>1598</v>
      </c>
      <c r="C106" s="950">
        <v>3.9360553243748035E-2</v>
      </c>
      <c r="D106" s="487" t="s">
        <v>176</v>
      </c>
      <c r="E106" s="1501"/>
      <c r="F106" s="30"/>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c r="AE106" s="482"/>
      <c r="AF106" s="482"/>
      <c r="AG106" s="482"/>
      <c r="AH106" s="30"/>
      <c r="AI106" s="30"/>
      <c r="AJ106" s="30"/>
      <c r="AK106" s="30"/>
      <c r="AL106" s="30"/>
      <c r="AM106" s="30"/>
      <c r="AN106" s="30"/>
      <c r="AO106" s="30"/>
      <c r="AP106" s="30"/>
    </row>
    <row r="107" spans="1:42" s="24" customFormat="1">
      <c r="A107" s="30"/>
      <c r="B107" s="486" t="s">
        <v>1599</v>
      </c>
      <c r="C107" s="950">
        <v>7.234854581650163E-2</v>
      </c>
      <c r="D107" s="487" t="s">
        <v>176</v>
      </c>
      <c r="E107" s="1501"/>
      <c r="F107" s="30"/>
      <c r="G107" s="482"/>
      <c r="H107" s="482"/>
      <c r="I107" s="482"/>
      <c r="J107" s="482"/>
      <c r="K107" s="482"/>
      <c r="L107" s="482"/>
      <c r="M107" s="482"/>
      <c r="N107" s="482"/>
      <c r="O107" s="482"/>
      <c r="P107" s="482"/>
      <c r="Q107" s="482"/>
      <c r="R107" s="482"/>
      <c r="S107" s="482"/>
      <c r="T107" s="482"/>
      <c r="U107" s="482"/>
      <c r="V107" s="482"/>
      <c r="W107" s="482"/>
      <c r="X107" s="482"/>
      <c r="Y107" s="482"/>
      <c r="Z107" s="482"/>
      <c r="AA107" s="482"/>
      <c r="AB107" s="482"/>
      <c r="AC107" s="482"/>
      <c r="AD107" s="482"/>
      <c r="AE107" s="482"/>
      <c r="AF107" s="482"/>
      <c r="AG107" s="482"/>
      <c r="AH107" s="30"/>
      <c r="AI107" s="30"/>
      <c r="AJ107" s="30"/>
      <c r="AK107" s="30"/>
      <c r="AL107" s="30"/>
      <c r="AM107" s="30"/>
      <c r="AN107" s="30"/>
      <c r="AO107" s="30"/>
      <c r="AP107" s="30"/>
    </row>
    <row r="108" spans="1:42" s="24" customFormat="1">
      <c r="A108" s="30"/>
      <c r="B108" s="488" t="s">
        <v>1600</v>
      </c>
      <c r="C108" s="951">
        <v>3.154486451836002E-2</v>
      </c>
      <c r="D108" s="489" t="s">
        <v>176</v>
      </c>
      <c r="E108" s="1501"/>
      <c r="F108" s="30"/>
      <c r="G108" s="482"/>
      <c r="H108" s="482"/>
      <c r="I108" s="482"/>
      <c r="J108" s="482"/>
      <c r="K108" s="482"/>
      <c r="L108" s="482"/>
      <c r="M108" s="482"/>
      <c r="N108" s="482"/>
      <c r="O108" s="482"/>
      <c r="P108" s="482"/>
      <c r="Q108" s="482"/>
      <c r="R108" s="482"/>
      <c r="S108" s="482"/>
      <c r="T108" s="482"/>
      <c r="U108" s="482"/>
      <c r="V108" s="482"/>
      <c r="W108" s="482"/>
      <c r="X108" s="482"/>
      <c r="Y108" s="482"/>
      <c r="Z108" s="482"/>
      <c r="AA108" s="482"/>
      <c r="AB108" s="482"/>
      <c r="AC108" s="482"/>
      <c r="AD108" s="482"/>
      <c r="AE108" s="482"/>
      <c r="AF108" s="482"/>
      <c r="AG108" s="482"/>
      <c r="AH108" s="30"/>
      <c r="AI108" s="30"/>
      <c r="AJ108" s="30"/>
      <c r="AK108" s="30"/>
      <c r="AL108" s="30"/>
      <c r="AM108" s="30"/>
      <c r="AN108" s="30"/>
      <c r="AO108" s="30"/>
      <c r="AP108" s="30"/>
    </row>
    <row r="109" spans="1:42" s="24" customFormat="1">
      <c r="A109" s="30"/>
      <c r="B109" s="483" t="s">
        <v>1601</v>
      </c>
      <c r="C109" s="818"/>
      <c r="D109" s="820"/>
      <c r="E109" s="1501"/>
      <c r="F109" s="30"/>
      <c r="G109" s="482"/>
      <c r="H109" s="482"/>
      <c r="I109" s="482"/>
      <c r="J109" s="482"/>
      <c r="K109" s="482"/>
      <c r="L109" s="482"/>
      <c r="M109" s="482"/>
      <c r="N109" s="482"/>
      <c r="O109" s="482"/>
      <c r="P109" s="482"/>
      <c r="Q109" s="482"/>
      <c r="R109" s="482"/>
      <c r="S109" s="482"/>
      <c r="T109" s="482"/>
      <c r="U109" s="482"/>
      <c r="V109" s="482"/>
      <c r="W109" s="482"/>
      <c r="X109" s="482"/>
      <c r="Y109" s="482"/>
      <c r="Z109" s="482"/>
      <c r="AA109" s="482"/>
      <c r="AB109" s="482"/>
      <c r="AC109" s="482"/>
      <c r="AD109" s="482"/>
      <c r="AE109" s="482"/>
      <c r="AF109" s="482"/>
      <c r="AG109" s="482"/>
      <c r="AH109" s="30"/>
      <c r="AI109" s="30"/>
      <c r="AJ109" s="30"/>
      <c r="AK109" s="30"/>
      <c r="AL109" s="30"/>
      <c r="AM109" s="30"/>
      <c r="AN109" s="30"/>
      <c r="AO109" s="30"/>
      <c r="AP109" s="30"/>
    </row>
    <row r="110" spans="1:42" s="24" customFormat="1">
      <c r="A110" s="30"/>
      <c r="B110" s="484" t="s">
        <v>1602</v>
      </c>
      <c r="C110" s="949">
        <v>8.0860574429305505E-3</v>
      </c>
      <c r="D110" s="485" t="s">
        <v>1121</v>
      </c>
      <c r="E110" s="1501"/>
      <c r="F110" s="30"/>
      <c r="G110" s="482"/>
      <c r="H110" s="482"/>
      <c r="I110" s="482"/>
      <c r="J110" s="482"/>
      <c r="K110" s="482"/>
      <c r="L110" s="482"/>
      <c r="M110" s="482"/>
      <c r="N110" s="482"/>
      <c r="O110" s="482"/>
      <c r="P110" s="482"/>
      <c r="Q110" s="482"/>
      <c r="R110" s="482"/>
      <c r="S110" s="482"/>
      <c r="T110" s="482"/>
      <c r="U110" s="482"/>
      <c r="V110" s="482"/>
      <c r="W110" s="482"/>
      <c r="X110" s="482"/>
      <c r="Y110" s="482"/>
      <c r="Z110" s="482"/>
      <c r="AA110" s="482"/>
      <c r="AB110" s="482"/>
      <c r="AC110" s="482"/>
      <c r="AD110" s="482"/>
      <c r="AE110" s="482"/>
      <c r="AF110" s="482"/>
      <c r="AG110" s="482"/>
      <c r="AH110" s="30"/>
      <c r="AI110" s="30"/>
      <c r="AJ110" s="30"/>
      <c r="AK110" s="30"/>
      <c r="AL110" s="30"/>
      <c r="AM110" s="30"/>
      <c r="AN110" s="30"/>
      <c r="AO110" s="30"/>
      <c r="AP110" s="30"/>
    </row>
    <row r="111" spans="1:42" s="24" customFormat="1">
      <c r="A111" s="30"/>
      <c r="B111" s="486" t="s">
        <v>1603</v>
      </c>
      <c r="C111" s="950">
        <v>5.4894724864532028E-3</v>
      </c>
      <c r="D111" s="487" t="s">
        <v>1121</v>
      </c>
      <c r="E111" s="1501"/>
      <c r="F111" s="30"/>
      <c r="G111" s="482"/>
      <c r="H111" s="482"/>
      <c r="I111" s="482"/>
      <c r="J111" s="482"/>
      <c r="K111" s="482"/>
      <c r="L111" s="482"/>
      <c r="M111" s="482"/>
      <c r="N111" s="482"/>
      <c r="O111" s="482"/>
      <c r="P111" s="482"/>
      <c r="Q111" s="482"/>
      <c r="R111" s="482"/>
      <c r="S111" s="482"/>
      <c r="T111" s="482"/>
      <c r="U111" s="482"/>
      <c r="V111" s="482"/>
      <c r="W111" s="482"/>
      <c r="X111" s="482"/>
      <c r="Y111" s="482"/>
      <c r="Z111" s="482"/>
      <c r="AA111" s="482"/>
      <c r="AB111" s="482"/>
      <c r="AC111" s="482"/>
      <c r="AD111" s="482"/>
      <c r="AE111" s="482"/>
      <c r="AF111" s="482"/>
      <c r="AG111" s="482"/>
      <c r="AH111" s="30"/>
      <c r="AI111" s="30"/>
      <c r="AJ111" s="30"/>
      <c r="AK111" s="30"/>
      <c r="AL111" s="30"/>
      <c r="AM111" s="30"/>
      <c r="AN111" s="30"/>
      <c r="AO111" s="30"/>
      <c r="AP111" s="30"/>
    </row>
    <row r="112" spans="1:42" s="24" customFormat="1">
      <c r="A112" s="30"/>
      <c r="B112" s="486" t="s">
        <v>1604</v>
      </c>
      <c r="C112" s="950">
        <v>1.2367038416249733E-3</v>
      </c>
      <c r="D112" s="487" t="s">
        <v>1121</v>
      </c>
      <c r="E112" s="1501"/>
      <c r="F112" s="30"/>
      <c r="G112" s="482"/>
      <c r="H112" s="482"/>
      <c r="I112" s="482"/>
      <c r="J112" s="482"/>
      <c r="K112" s="482"/>
      <c r="L112" s="482"/>
      <c r="M112" s="482"/>
      <c r="N112" s="482"/>
      <c r="O112" s="482"/>
      <c r="P112" s="482"/>
      <c r="Q112" s="482"/>
      <c r="R112" s="482"/>
      <c r="S112" s="482"/>
      <c r="T112" s="482"/>
      <c r="U112" s="482"/>
      <c r="V112" s="482"/>
      <c r="W112" s="482"/>
      <c r="X112" s="482"/>
      <c r="Y112" s="482"/>
      <c r="Z112" s="482"/>
      <c r="AA112" s="482"/>
      <c r="AB112" s="482"/>
      <c r="AC112" s="482"/>
      <c r="AD112" s="482"/>
      <c r="AE112" s="482"/>
      <c r="AF112" s="482"/>
      <c r="AG112" s="482"/>
      <c r="AH112" s="30"/>
      <c r="AI112" s="30"/>
      <c r="AJ112" s="30"/>
      <c r="AK112" s="30"/>
      <c r="AL112" s="30"/>
      <c r="AM112" s="30"/>
      <c r="AN112" s="30"/>
      <c r="AO112" s="30"/>
      <c r="AP112" s="30"/>
    </row>
    <row r="113" spans="1:42" s="24" customFormat="1">
      <c r="A113" s="30"/>
      <c r="B113" s="486" t="s">
        <v>1605</v>
      </c>
      <c r="C113" s="950">
        <v>6.0396050328683669E-3</v>
      </c>
      <c r="D113" s="487" t="s">
        <v>1121</v>
      </c>
      <c r="E113" s="1501"/>
      <c r="F113" s="30"/>
      <c r="G113" s="482"/>
      <c r="H113" s="482"/>
      <c r="I113" s="482"/>
      <c r="J113" s="482"/>
      <c r="K113" s="482"/>
      <c r="L113" s="482"/>
      <c r="M113" s="482"/>
      <c r="N113" s="482"/>
      <c r="O113" s="482"/>
      <c r="P113" s="482"/>
      <c r="Q113" s="482"/>
      <c r="R113" s="482"/>
      <c r="S113" s="482"/>
      <c r="T113" s="482"/>
      <c r="U113" s="482"/>
      <c r="V113" s="482"/>
      <c r="W113" s="482"/>
      <c r="X113" s="482"/>
      <c r="Y113" s="482"/>
      <c r="Z113" s="482"/>
      <c r="AA113" s="482"/>
      <c r="AB113" s="482"/>
      <c r="AC113" s="482"/>
      <c r="AD113" s="482"/>
      <c r="AE113" s="482"/>
      <c r="AF113" s="482"/>
      <c r="AG113" s="482"/>
      <c r="AH113" s="30"/>
      <c r="AI113" s="30"/>
      <c r="AJ113" s="30"/>
      <c r="AK113" s="30"/>
      <c r="AL113" s="30"/>
      <c r="AM113" s="30"/>
      <c r="AN113" s="30"/>
      <c r="AO113" s="30"/>
      <c r="AP113" s="30"/>
    </row>
    <row r="114" spans="1:42" s="24" customFormat="1">
      <c r="A114" s="30"/>
      <c r="B114" s="486" t="s">
        <v>1606</v>
      </c>
      <c r="C114" s="950">
        <v>4.0000000000000001E-3</v>
      </c>
      <c r="D114" s="487" t="s">
        <v>1121</v>
      </c>
      <c r="E114" s="1501"/>
      <c r="F114" s="30"/>
      <c r="G114" s="482"/>
      <c r="H114" s="482"/>
      <c r="I114" s="482"/>
      <c r="J114" s="482"/>
      <c r="K114" s="482"/>
      <c r="L114" s="482"/>
      <c r="M114" s="482"/>
      <c r="N114" s="482"/>
      <c r="O114" s="482"/>
      <c r="P114" s="482"/>
      <c r="Q114" s="482"/>
      <c r="R114" s="482"/>
      <c r="S114" s="482"/>
      <c r="T114" s="482"/>
      <c r="U114" s="482"/>
      <c r="V114" s="482"/>
      <c r="W114" s="482"/>
      <c r="X114" s="482"/>
      <c r="Y114" s="482"/>
      <c r="Z114" s="482"/>
      <c r="AA114" s="482"/>
      <c r="AB114" s="482"/>
      <c r="AC114" s="482"/>
      <c r="AD114" s="482"/>
      <c r="AE114" s="482"/>
      <c r="AF114" s="482"/>
      <c r="AG114" s="482"/>
      <c r="AH114" s="30"/>
      <c r="AI114" s="30"/>
      <c r="AJ114" s="30"/>
      <c r="AK114" s="30"/>
      <c r="AL114" s="30"/>
      <c r="AM114" s="30"/>
      <c r="AN114" s="30"/>
      <c r="AO114" s="30"/>
      <c r="AP114" s="30"/>
    </row>
    <row r="115" spans="1:42" s="24" customFormat="1">
      <c r="A115" s="30"/>
      <c r="B115" s="486" t="s">
        <v>1607</v>
      </c>
      <c r="C115" s="950">
        <v>8.7444222185925815E-3</v>
      </c>
      <c r="D115" s="487" t="s">
        <v>1121</v>
      </c>
      <c r="E115" s="1501"/>
      <c r="F115" s="30"/>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c r="AE115" s="482"/>
      <c r="AF115" s="482"/>
      <c r="AG115" s="482"/>
      <c r="AH115" s="30"/>
      <c r="AI115" s="30"/>
      <c r="AJ115" s="30"/>
      <c r="AK115" s="30"/>
      <c r="AL115" s="30"/>
      <c r="AM115" s="30"/>
      <c r="AN115" s="30"/>
      <c r="AO115" s="30"/>
      <c r="AP115" s="30"/>
    </row>
    <row r="116" spans="1:42" s="24" customFormat="1">
      <c r="A116" s="30"/>
      <c r="B116" s="486" t="s">
        <v>1608</v>
      </c>
      <c r="C116" s="950">
        <v>8.9999999999999993E-3</v>
      </c>
      <c r="D116" s="487" t="s">
        <v>1121</v>
      </c>
      <c r="E116" s="1501"/>
      <c r="F116" s="30"/>
      <c r="G116" s="482"/>
      <c r="H116" s="482"/>
      <c r="I116" s="482"/>
      <c r="J116" s="482"/>
      <c r="K116" s="482"/>
      <c r="L116" s="482"/>
      <c r="M116" s="482"/>
      <c r="N116" s="482"/>
      <c r="O116" s="482"/>
      <c r="P116" s="482"/>
      <c r="Q116" s="482"/>
      <c r="R116" s="482"/>
      <c r="S116" s="482"/>
      <c r="T116" s="482"/>
      <c r="U116" s="482"/>
      <c r="V116" s="482"/>
      <c r="W116" s="482"/>
      <c r="X116" s="482"/>
      <c r="Y116" s="482"/>
      <c r="Z116" s="482"/>
      <c r="AA116" s="482"/>
      <c r="AB116" s="482"/>
      <c r="AC116" s="482"/>
      <c r="AD116" s="482"/>
      <c r="AE116" s="482"/>
      <c r="AF116" s="482"/>
      <c r="AG116" s="482"/>
      <c r="AH116" s="30"/>
      <c r="AI116" s="30"/>
      <c r="AJ116" s="30"/>
      <c r="AK116" s="30"/>
      <c r="AL116" s="30"/>
      <c r="AM116" s="30"/>
      <c r="AN116" s="30"/>
      <c r="AO116" s="30"/>
      <c r="AP116" s="30"/>
    </row>
    <row r="117" spans="1:42" s="24" customFormat="1">
      <c r="A117" s="30"/>
      <c r="B117" s="486" t="s">
        <v>1609</v>
      </c>
      <c r="C117" s="950">
        <v>2.5610181642236073E-3</v>
      </c>
      <c r="D117" s="487" t="s">
        <v>1121</v>
      </c>
      <c r="E117" s="1501"/>
      <c r="F117" s="30"/>
      <c r="G117" s="482"/>
      <c r="H117" s="482"/>
      <c r="I117" s="482"/>
      <c r="J117" s="482"/>
      <c r="K117" s="482"/>
      <c r="L117" s="482"/>
      <c r="M117" s="482"/>
      <c r="N117" s="482"/>
      <c r="O117" s="482"/>
      <c r="P117" s="482"/>
      <c r="Q117" s="482"/>
      <c r="R117" s="482"/>
      <c r="S117" s="482"/>
      <c r="T117" s="482"/>
      <c r="U117" s="482"/>
      <c r="V117" s="482"/>
      <c r="W117" s="482"/>
      <c r="X117" s="482"/>
      <c r="Y117" s="482"/>
      <c r="Z117" s="482"/>
      <c r="AA117" s="482"/>
      <c r="AB117" s="482"/>
      <c r="AC117" s="482"/>
      <c r="AD117" s="482"/>
      <c r="AE117" s="482"/>
      <c r="AF117" s="482"/>
      <c r="AG117" s="482"/>
      <c r="AH117" s="30"/>
      <c r="AI117" s="30"/>
      <c r="AJ117" s="30"/>
      <c r="AK117" s="30"/>
      <c r="AL117" s="30"/>
      <c r="AM117" s="30"/>
      <c r="AN117" s="30"/>
      <c r="AO117" s="30"/>
      <c r="AP117" s="30"/>
    </row>
    <row r="118" spans="1:42" s="24" customFormat="1">
      <c r="A118" s="30"/>
      <c r="B118" s="486" t="s">
        <v>1610</v>
      </c>
      <c r="C118" s="950">
        <v>4.1642615363902949E-3</v>
      </c>
      <c r="D118" s="487" t="s">
        <v>1121</v>
      </c>
      <c r="E118" s="1501"/>
      <c r="F118" s="30"/>
      <c r="G118" s="482"/>
      <c r="H118" s="482"/>
      <c r="I118" s="482"/>
      <c r="J118" s="482"/>
      <c r="K118" s="482"/>
      <c r="L118" s="482"/>
      <c r="M118" s="482"/>
      <c r="N118" s="482"/>
      <c r="O118" s="482"/>
      <c r="P118" s="482"/>
      <c r="Q118" s="482"/>
      <c r="R118" s="482"/>
      <c r="S118" s="482"/>
      <c r="T118" s="482"/>
      <c r="U118" s="482"/>
      <c r="V118" s="482"/>
      <c r="W118" s="482"/>
      <c r="X118" s="482"/>
      <c r="Y118" s="482"/>
      <c r="Z118" s="482"/>
      <c r="AA118" s="482"/>
      <c r="AB118" s="482"/>
      <c r="AC118" s="482"/>
      <c r="AD118" s="482"/>
      <c r="AE118" s="482"/>
      <c r="AF118" s="482"/>
      <c r="AG118" s="482"/>
      <c r="AH118" s="30"/>
      <c r="AI118" s="30"/>
      <c r="AJ118" s="30"/>
      <c r="AK118" s="30"/>
      <c r="AL118" s="30"/>
      <c r="AM118" s="30"/>
      <c r="AN118" s="30"/>
      <c r="AO118" s="30"/>
      <c r="AP118" s="30"/>
    </row>
    <row r="119" spans="1:42" s="24" customFormat="1">
      <c r="A119" s="30"/>
      <c r="B119" s="486" t="s">
        <v>1611</v>
      </c>
      <c r="C119" s="950">
        <v>1.7827079379550198E-3</v>
      </c>
      <c r="D119" s="487" t="s">
        <v>1121</v>
      </c>
      <c r="E119" s="1501"/>
      <c r="F119" s="30"/>
      <c r="G119" s="482"/>
      <c r="H119" s="482"/>
      <c r="I119" s="482"/>
      <c r="J119" s="482"/>
      <c r="K119" s="482"/>
      <c r="L119" s="482"/>
      <c r="M119" s="482"/>
      <c r="N119" s="482"/>
      <c r="O119" s="482"/>
      <c r="P119" s="482"/>
      <c r="Q119" s="482"/>
      <c r="R119" s="482"/>
      <c r="S119" s="482"/>
      <c r="T119" s="482"/>
      <c r="U119" s="482"/>
      <c r="V119" s="482"/>
      <c r="W119" s="482"/>
      <c r="X119" s="482"/>
      <c r="Y119" s="482"/>
      <c r="Z119" s="482"/>
      <c r="AA119" s="482"/>
      <c r="AB119" s="482"/>
      <c r="AC119" s="482"/>
      <c r="AD119" s="482"/>
      <c r="AE119" s="482"/>
      <c r="AF119" s="482"/>
      <c r="AG119" s="482"/>
      <c r="AH119" s="30"/>
      <c r="AI119" s="30"/>
      <c r="AJ119" s="30"/>
      <c r="AK119" s="30"/>
      <c r="AL119" s="30"/>
      <c r="AM119" s="30"/>
      <c r="AN119" s="30"/>
      <c r="AO119" s="30"/>
      <c r="AP119" s="30"/>
    </row>
    <row r="120" spans="1:42" s="24" customFormat="1">
      <c r="A120" s="30"/>
      <c r="B120" s="486" t="s">
        <v>1612</v>
      </c>
      <c r="C120" s="950">
        <v>1.7812573423333224E-2</v>
      </c>
      <c r="D120" s="487" t="s">
        <v>1121</v>
      </c>
      <c r="E120" s="1501"/>
      <c r="F120" s="30"/>
      <c r="G120" s="482"/>
      <c r="H120" s="482"/>
      <c r="I120" s="482"/>
      <c r="J120" s="482"/>
      <c r="K120" s="482"/>
      <c r="L120" s="482"/>
      <c r="M120" s="482"/>
      <c r="N120" s="482"/>
      <c r="O120" s="482"/>
      <c r="P120" s="482"/>
      <c r="Q120" s="482"/>
      <c r="R120" s="482"/>
      <c r="S120" s="482"/>
      <c r="T120" s="482"/>
      <c r="U120" s="482"/>
      <c r="V120" s="482"/>
      <c r="W120" s="482"/>
      <c r="X120" s="482"/>
      <c r="Y120" s="482"/>
      <c r="Z120" s="482"/>
      <c r="AA120" s="482"/>
      <c r="AB120" s="482"/>
      <c r="AC120" s="482"/>
      <c r="AD120" s="482"/>
      <c r="AE120" s="482"/>
      <c r="AF120" s="482"/>
      <c r="AG120" s="482"/>
      <c r="AH120" s="30"/>
      <c r="AI120" s="30"/>
      <c r="AJ120" s="30"/>
      <c r="AK120" s="30"/>
      <c r="AL120" s="30"/>
      <c r="AM120" s="30"/>
      <c r="AN120" s="30"/>
      <c r="AO120" s="30"/>
      <c r="AP120" s="30"/>
    </row>
    <row r="121" spans="1:42" s="24" customFormat="1">
      <c r="A121" s="30"/>
      <c r="B121" s="486" t="s">
        <v>1613</v>
      </c>
      <c r="C121" s="950">
        <v>9.9417902889504996E-3</v>
      </c>
      <c r="D121" s="487" t="s">
        <v>1121</v>
      </c>
      <c r="E121" s="1501"/>
      <c r="F121" s="30"/>
      <c r="G121" s="482"/>
      <c r="H121" s="482"/>
      <c r="I121" s="482"/>
      <c r="J121" s="482"/>
      <c r="K121" s="482"/>
      <c r="L121" s="482"/>
      <c r="M121" s="482"/>
      <c r="N121" s="482"/>
      <c r="O121" s="482"/>
      <c r="P121" s="482"/>
      <c r="Q121" s="482"/>
      <c r="R121" s="482"/>
      <c r="S121" s="482"/>
      <c r="T121" s="482"/>
      <c r="U121" s="482"/>
      <c r="V121" s="482"/>
      <c r="W121" s="482"/>
      <c r="X121" s="482"/>
      <c r="Y121" s="482"/>
      <c r="Z121" s="482"/>
      <c r="AA121" s="482"/>
      <c r="AB121" s="482"/>
      <c r="AC121" s="482"/>
      <c r="AD121" s="482"/>
      <c r="AE121" s="482"/>
      <c r="AF121" s="482"/>
      <c r="AG121" s="482"/>
      <c r="AH121" s="30"/>
      <c r="AI121" s="30"/>
      <c r="AJ121" s="30"/>
      <c r="AK121" s="30"/>
      <c r="AL121" s="30"/>
      <c r="AM121" s="30"/>
      <c r="AN121" s="30"/>
      <c r="AO121" s="30"/>
      <c r="AP121" s="30"/>
    </row>
    <row r="122" spans="1:42" s="24" customFormat="1">
      <c r="A122" s="30"/>
      <c r="B122" s="486" t="s">
        <v>1614</v>
      </c>
      <c r="C122" s="950">
        <v>2.5202827793537859E-3</v>
      </c>
      <c r="D122" s="487" t="s">
        <v>1121</v>
      </c>
      <c r="E122" s="1501"/>
      <c r="F122" s="30"/>
      <c r="G122" s="482"/>
      <c r="H122" s="482"/>
      <c r="I122" s="482"/>
      <c r="J122" s="482"/>
      <c r="K122" s="482"/>
      <c r="L122" s="482"/>
      <c r="M122" s="482"/>
      <c r="N122" s="482"/>
      <c r="O122" s="482"/>
      <c r="P122" s="482"/>
      <c r="Q122" s="482"/>
      <c r="R122" s="482"/>
      <c r="S122" s="482"/>
      <c r="T122" s="482"/>
      <c r="U122" s="482"/>
      <c r="V122" s="482"/>
      <c r="W122" s="482"/>
      <c r="X122" s="482"/>
      <c r="Y122" s="482"/>
      <c r="Z122" s="482"/>
      <c r="AA122" s="482"/>
      <c r="AB122" s="482"/>
      <c r="AC122" s="482"/>
      <c r="AD122" s="482"/>
      <c r="AE122" s="482"/>
      <c r="AF122" s="482"/>
      <c r="AG122" s="482"/>
      <c r="AH122" s="30"/>
      <c r="AI122" s="30"/>
      <c r="AJ122" s="30"/>
      <c r="AK122" s="30"/>
      <c r="AL122" s="30"/>
      <c r="AM122" s="30"/>
      <c r="AN122" s="30"/>
      <c r="AO122" s="30"/>
      <c r="AP122" s="30"/>
    </row>
    <row r="123" spans="1:42" s="24" customFormat="1">
      <c r="A123" s="30"/>
      <c r="B123" s="486" t="s">
        <v>1615</v>
      </c>
      <c r="C123" s="950">
        <v>5.6827259798491181E-2</v>
      </c>
      <c r="D123" s="487" t="s">
        <v>1121</v>
      </c>
      <c r="E123" s="1501"/>
      <c r="F123" s="30"/>
      <c r="G123" s="482"/>
      <c r="H123" s="482"/>
      <c r="I123" s="482"/>
      <c r="J123" s="482"/>
      <c r="K123" s="482"/>
      <c r="L123" s="482"/>
      <c r="M123" s="482"/>
      <c r="N123" s="482"/>
      <c r="O123" s="482"/>
      <c r="P123" s="482"/>
      <c r="Q123" s="482"/>
      <c r="R123" s="482"/>
      <c r="S123" s="482"/>
      <c r="T123" s="482"/>
      <c r="U123" s="482"/>
      <c r="V123" s="482"/>
      <c r="W123" s="482"/>
      <c r="X123" s="482"/>
      <c r="Y123" s="482"/>
      <c r="Z123" s="482"/>
      <c r="AA123" s="482"/>
      <c r="AB123" s="482"/>
      <c r="AC123" s="482"/>
      <c r="AD123" s="482"/>
      <c r="AE123" s="482"/>
      <c r="AF123" s="482"/>
      <c r="AG123" s="482"/>
      <c r="AH123" s="30"/>
      <c r="AI123" s="30"/>
      <c r="AJ123" s="30"/>
      <c r="AK123" s="30"/>
      <c r="AL123" s="30"/>
      <c r="AM123" s="30"/>
      <c r="AN123" s="30"/>
      <c r="AO123" s="30"/>
      <c r="AP123" s="30"/>
    </row>
    <row r="124" spans="1:42" s="24" customFormat="1">
      <c r="A124" s="30"/>
      <c r="B124" s="488" t="s">
        <v>1616</v>
      </c>
      <c r="C124" s="951">
        <v>2.4594382683608737E-2</v>
      </c>
      <c r="D124" s="489" t="s">
        <v>1121</v>
      </c>
      <c r="E124" s="1501"/>
      <c r="F124" s="30"/>
      <c r="G124" s="482"/>
      <c r="H124" s="482"/>
      <c r="I124" s="482"/>
      <c r="J124" s="482"/>
      <c r="K124" s="482"/>
      <c r="L124" s="482"/>
      <c r="M124" s="482"/>
      <c r="N124" s="482"/>
      <c r="O124" s="482"/>
      <c r="P124" s="482"/>
      <c r="Q124" s="482"/>
      <c r="R124" s="482"/>
      <c r="S124" s="482"/>
      <c r="T124" s="482"/>
      <c r="U124" s="482"/>
      <c r="V124" s="482"/>
      <c r="W124" s="482"/>
      <c r="X124" s="482"/>
      <c r="Y124" s="482"/>
      <c r="Z124" s="482"/>
      <c r="AA124" s="482"/>
      <c r="AB124" s="482"/>
      <c r="AC124" s="482"/>
      <c r="AD124" s="482"/>
      <c r="AE124" s="482"/>
      <c r="AF124" s="482"/>
      <c r="AG124" s="482"/>
      <c r="AH124" s="30"/>
      <c r="AI124" s="30"/>
      <c r="AJ124" s="30"/>
      <c r="AK124" s="30"/>
      <c r="AL124" s="30"/>
      <c r="AM124" s="30"/>
      <c r="AN124" s="30"/>
      <c r="AO124" s="30"/>
      <c r="AP124" s="30"/>
    </row>
    <row r="125" spans="1:42" s="24" customFormat="1">
      <c r="A125" s="30"/>
      <c r="B125" s="483" t="s">
        <v>1617</v>
      </c>
      <c r="C125" s="818"/>
      <c r="D125" s="820"/>
      <c r="E125" s="1501"/>
      <c r="F125" s="30"/>
      <c r="G125" s="482"/>
      <c r="H125" s="482"/>
      <c r="I125" s="482"/>
      <c r="J125" s="482"/>
      <c r="K125" s="482"/>
      <c r="L125" s="482"/>
      <c r="M125" s="482"/>
      <c r="N125" s="482"/>
      <c r="O125" s="482"/>
      <c r="P125" s="482"/>
      <c r="Q125" s="482"/>
      <c r="R125" s="482"/>
      <c r="S125" s="482"/>
      <c r="T125" s="482"/>
      <c r="U125" s="482"/>
      <c r="V125" s="482"/>
      <c r="W125" s="482"/>
      <c r="X125" s="482"/>
      <c r="Y125" s="482"/>
      <c r="Z125" s="482"/>
      <c r="AA125" s="482"/>
      <c r="AB125" s="482"/>
      <c r="AC125" s="482"/>
      <c r="AD125" s="482"/>
      <c r="AE125" s="482"/>
      <c r="AF125" s="482"/>
      <c r="AG125" s="482"/>
      <c r="AH125" s="30"/>
      <c r="AI125" s="30"/>
      <c r="AJ125" s="30"/>
      <c r="AK125" s="30"/>
      <c r="AL125" s="30"/>
      <c r="AM125" s="30"/>
      <c r="AN125" s="30"/>
      <c r="AO125" s="30"/>
      <c r="AP125" s="30"/>
    </row>
    <row r="126" spans="1:42" s="24" customFormat="1">
      <c r="A126" s="30"/>
      <c r="B126" s="484" t="s">
        <v>1618</v>
      </c>
      <c r="C126" s="949">
        <v>6.5101509573480053E-4</v>
      </c>
      <c r="D126" s="485" t="s">
        <v>1121</v>
      </c>
      <c r="E126" s="1501"/>
      <c r="F126" s="30"/>
      <c r="G126" s="482"/>
      <c r="H126" s="482"/>
      <c r="I126" s="482"/>
      <c r="J126" s="482"/>
      <c r="K126" s="482"/>
      <c r="L126" s="482"/>
      <c r="M126" s="482"/>
      <c r="N126" s="482"/>
      <c r="O126" s="482"/>
      <c r="P126" s="482"/>
      <c r="Q126" s="482"/>
      <c r="R126" s="482"/>
      <c r="S126" s="482"/>
      <c r="T126" s="482"/>
      <c r="U126" s="482"/>
      <c r="V126" s="482"/>
      <c r="W126" s="482"/>
      <c r="X126" s="482"/>
      <c r="Y126" s="482"/>
      <c r="Z126" s="482"/>
      <c r="AA126" s="482"/>
      <c r="AB126" s="482"/>
      <c r="AC126" s="482"/>
      <c r="AD126" s="482"/>
      <c r="AE126" s="482"/>
      <c r="AF126" s="482"/>
      <c r="AG126" s="482"/>
      <c r="AH126" s="30"/>
      <c r="AI126" s="30"/>
      <c r="AJ126" s="30"/>
      <c r="AK126" s="30"/>
      <c r="AL126" s="30"/>
      <c r="AM126" s="30"/>
      <c r="AN126" s="30"/>
      <c r="AO126" s="30"/>
      <c r="AP126" s="30"/>
    </row>
    <row r="127" spans="1:42" s="24" customFormat="1">
      <c r="A127" s="30"/>
      <c r="B127" s="486" t="s">
        <v>1619</v>
      </c>
      <c r="C127" s="950">
        <v>2.8573313305008466E-3</v>
      </c>
      <c r="D127" s="487" t="s">
        <v>1121</v>
      </c>
      <c r="E127" s="1501"/>
      <c r="F127" s="30"/>
      <c r="G127" s="482"/>
      <c r="H127" s="482"/>
      <c r="I127" s="482"/>
      <c r="J127" s="482"/>
      <c r="K127" s="482"/>
      <c r="L127" s="482"/>
      <c r="M127" s="482"/>
      <c r="N127" s="482"/>
      <c r="O127" s="482"/>
      <c r="P127" s="482"/>
      <c r="Q127" s="482"/>
      <c r="R127" s="482"/>
      <c r="S127" s="482"/>
      <c r="T127" s="482"/>
      <c r="U127" s="482"/>
      <c r="V127" s="482"/>
      <c r="W127" s="482"/>
      <c r="X127" s="482"/>
      <c r="Y127" s="482"/>
      <c r="Z127" s="482"/>
      <c r="AA127" s="482"/>
      <c r="AB127" s="482"/>
      <c r="AC127" s="482"/>
      <c r="AD127" s="482"/>
      <c r="AE127" s="482"/>
      <c r="AF127" s="482"/>
      <c r="AG127" s="482"/>
      <c r="AH127" s="30"/>
      <c r="AI127" s="30"/>
      <c r="AJ127" s="30"/>
      <c r="AK127" s="30"/>
      <c r="AL127" s="30"/>
      <c r="AM127" s="30"/>
      <c r="AN127" s="30"/>
      <c r="AO127" s="30"/>
      <c r="AP127" s="30"/>
    </row>
    <row r="128" spans="1:42" s="24" customFormat="1">
      <c r="A128" s="30"/>
      <c r="B128" s="486" t="s">
        <v>1620</v>
      </c>
      <c r="C128" s="950">
        <v>8.184032103637013E-3</v>
      </c>
      <c r="D128" s="487" t="s">
        <v>1121</v>
      </c>
      <c r="E128" s="1501"/>
      <c r="F128" s="30"/>
      <c r="G128" s="482"/>
      <c r="H128" s="482"/>
      <c r="I128" s="482"/>
      <c r="J128" s="482"/>
      <c r="K128" s="482"/>
      <c r="L128" s="482"/>
      <c r="M128" s="482"/>
      <c r="N128" s="482"/>
      <c r="O128" s="482"/>
      <c r="P128" s="482"/>
      <c r="Q128" s="482"/>
      <c r="R128" s="482"/>
      <c r="S128" s="482"/>
      <c r="T128" s="482"/>
      <c r="U128" s="482"/>
      <c r="V128" s="482"/>
      <c r="W128" s="482"/>
      <c r="X128" s="482"/>
      <c r="Y128" s="482"/>
      <c r="Z128" s="482"/>
      <c r="AA128" s="482"/>
      <c r="AB128" s="482"/>
      <c r="AC128" s="482"/>
      <c r="AD128" s="482"/>
      <c r="AE128" s="482"/>
      <c r="AF128" s="482"/>
      <c r="AG128" s="482"/>
      <c r="AH128" s="30"/>
      <c r="AI128" s="30"/>
      <c r="AJ128" s="30"/>
      <c r="AK128" s="30"/>
      <c r="AL128" s="30"/>
      <c r="AM128" s="30"/>
      <c r="AN128" s="30"/>
      <c r="AO128" s="30"/>
      <c r="AP128" s="30"/>
    </row>
    <row r="129" spans="1:33" s="24" customFormat="1">
      <c r="A129" s="30"/>
      <c r="B129" s="486" t="s">
        <v>1621</v>
      </c>
      <c r="C129" s="950">
        <v>3.993152622806184E-3</v>
      </c>
      <c r="D129" s="487" t="s">
        <v>1121</v>
      </c>
      <c r="E129" s="1501"/>
      <c r="F129" s="30"/>
      <c r="G129" s="482"/>
      <c r="H129" s="482"/>
      <c r="I129" s="482"/>
      <c r="J129" s="482"/>
      <c r="K129" s="482"/>
      <c r="L129" s="482"/>
      <c r="M129" s="482"/>
      <c r="N129" s="482"/>
      <c r="O129" s="482"/>
      <c r="P129" s="482"/>
      <c r="Q129" s="482"/>
      <c r="R129" s="482"/>
      <c r="S129" s="482"/>
      <c r="T129" s="482"/>
      <c r="U129" s="482"/>
      <c r="V129" s="482"/>
      <c r="W129" s="482"/>
      <c r="X129" s="482"/>
      <c r="Y129" s="482"/>
      <c r="Z129" s="482"/>
      <c r="AA129" s="482"/>
      <c r="AB129" s="482"/>
      <c r="AC129" s="482"/>
      <c r="AD129" s="482"/>
      <c r="AE129" s="482"/>
      <c r="AF129" s="482"/>
      <c r="AG129" s="482"/>
    </row>
    <row r="130" spans="1:33" s="24" customFormat="1">
      <c r="A130" s="30"/>
      <c r="B130" s="486" t="s">
        <v>1622</v>
      </c>
      <c r="C130" s="950">
        <v>1.6420760889547387E-2</v>
      </c>
      <c r="D130" s="487" t="s">
        <v>1121</v>
      </c>
      <c r="E130" s="1501"/>
      <c r="F130" s="30"/>
      <c r="G130" s="482"/>
      <c r="H130" s="482"/>
      <c r="I130" s="482"/>
      <c r="J130" s="482"/>
      <c r="K130" s="482"/>
      <c r="L130" s="482"/>
      <c r="M130" s="482"/>
      <c r="N130" s="482"/>
      <c r="O130" s="482"/>
      <c r="P130" s="482"/>
      <c r="Q130" s="482"/>
      <c r="R130" s="482"/>
      <c r="S130" s="482"/>
      <c r="T130" s="482"/>
      <c r="U130" s="482"/>
      <c r="V130" s="482"/>
      <c r="W130" s="482"/>
      <c r="X130" s="482"/>
      <c r="Y130" s="482"/>
      <c r="Z130" s="482"/>
      <c r="AA130" s="482"/>
      <c r="AB130" s="482"/>
      <c r="AC130" s="482"/>
      <c r="AD130" s="482"/>
      <c r="AE130" s="482"/>
      <c r="AF130" s="482"/>
      <c r="AG130" s="482"/>
    </row>
    <row r="131" spans="1:33" s="24" customFormat="1">
      <c r="A131" s="30"/>
      <c r="B131" s="486" t="s">
        <v>1623</v>
      </c>
      <c r="C131" s="950">
        <v>1.2293186246336095E-3</v>
      </c>
      <c r="D131" s="487" t="s">
        <v>1121</v>
      </c>
      <c r="E131" s="1501"/>
      <c r="F131" s="30"/>
      <c r="G131" s="482"/>
      <c r="H131" s="482"/>
      <c r="I131" s="482"/>
      <c r="J131" s="482"/>
      <c r="K131" s="482"/>
      <c r="L131" s="482"/>
      <c r="M131" s="482"/>
      <c r="N131" s="482"/>
      <c r="O131" s="482"/>
      <c r="P131" s="482"/>
      <c r="Q131" s="482"/>
      <c r="R131" s="482"/>
      <c r="S131" s="482"/>
      <c r="T131" s="482"/>
      <c r="U131" s="482"/>
      <c r="V131" s="482"/>
      <c r="W131" s="482"/>
      <c r="X131" s="482"/>
      <c r="Y131" s="482"/>
      <c r="Z131" s="482"/>
      <c r="AA131" s="482"/>
      <c r="AB131" s="482"/>
      <c r="AC131" s="482"/>
      <c r="AD131" s="482"/>
      <c r="AE131" s="482"/>
      <c r="AF131" s="482"/>
      <c r="AG131" s="482"/>
    </row>
    <row r="132" spans="1:33" s="24" customFormat="1">
      <c r="A132" s="30"/>
      <c r="B132" s="488" t="s">
        <v>1624</v>
      </c>
      <c r="C132" s="951">
        <v>1.4508123294477196E-2</v>
      </c>
      <c r="D132" s="489" t="s">
        <v>1121</v>
      </c>
      <c r="E132" s="1501"/>
      <c r="F132" s="30"/>
      <c r="G132" s="482"/>
      <c r="H132" s="482"/>
      <c r="I132" s="482"/>
      <c r="J132" s="482"/>
      <c r="K132" s="482"/>
      <c r="L132" s="482"/>
      <c r="M132" s="482"/>
      <c r="N132" s="482"/>
      <c r="O132" s="482"/>
      <c r="P132" s="482"/>
      <c r="Q132" s="482"/>
      <c r="R132" s="482"/>
      <c r="S132" s="482"/>
      <c r="T132" s="482"/>
      <c r="U132" s="482"/>
      <c r="V132" s="482"/>
      <c r="W132" s="482"/>
      <c r="X132" s="482"/>
      <c r="Y132" s="482"/>
      <c r="Z132" s="482"/>
      <c r="AA132" s="482"/>
      <c r="AB132" s="482"/>
      <c r="AC132" s="482"/>
      <c r="AD132" s="482"/>
      <c r="AE132" s="482"/>
      <c r="AF132" s="482"/>
      <c r="AG132" s="482"/>
    </row>
    <row r="133" spans="1:33" s="24" customFormat="1">
      <c r="A133" s="30"/>
      <c r="B133" s="483" t="s">
        <v>1625</v>
      </c>
      <c r="C133" s="818"/>
      <c r="D133" s="820"/>
      <c r="E133" s="1501"/>
      <c r="F133" s="30"/>
      <c r="G133" s="482"/>
      <c r="H133" s="482"/>
      <c r="I133" s="482"/>
      <c r="J133" s="482"/>
      <c r="K133" s="482"/>
      <c r="L133" s="482"/>
      <c r="M133" s="482"/>
      <c r="N133" s="482"/>
      <c r="O133" s="482"/>
      <c r="P133" s="482"/>
      <c r="Q133" s="482"/>
      <c r="R133" s="482"/>
      <c r="S133" s="482"/>
      <c r="T133" s="482"/>
      <c r="U133" s="482"/>
      <c r="V133" s="482"/>
      <c r="W133" s="482"/>
      <c r="X133" s="482"/>
      <c r="Y133" s="482"/>
      <c r="Z133" s="482"/>
      <c r="AA133" s="482"/>
      <c r="AB133" s="482"/>
      <c r="AC133" s="482"/>
      <c r="AD133" s="482"/>
      <c r="AE133" s="482"/>
      <c r="AF133" s="482"/>
      <c r="AG133" s="482"/>
    </row>
    <row r="134" spans="1:33" s="24" customFormat="1">
      <c r="A134" s="30"/>
      <c r="B134" s="484" t="s">
        <v>1626</v>
      </c>
      <c r="C134" s="949">
        <v>8.2391996369752217E-3</v>
      </c>
      <c r="D134" s="485" t="s">
        <v>1121</v>
      </c>
      <c r="E134" s="1501"/>
      <c r="F134" s="30"/>
      <c r="G134" s="482"/>
      <c r="H134" s="482"/>
      <c r="I134" s="482"/>
      <c r="J134" s="482"/>
      <c r="K134" s="482"/>
      <c r="L134" s="482"/>
      <c r="M134" s="482"/>
      <c r="N134" s="482"/>
      <c r="O134" s="482"/>
      <c r="P134" s="482"/>
      <c r="Q134" s="482"/>
      <c r="R134" s="482"/>
      <c r="S134" s="482"/>
      <c r="T134" s="482"/>
      <c r="U134" s="482"/>
      <c r="V134" s="482"/>
      <c r="W134" s="482"/>
      <c r="X134" s="482"/>
      <c r="Y134" s="482"/>
      <c r="Z134" s="482"/>
      <c r="AA134" s="482"/>
      <c r="AB134" s="482"/>
      <c r="AC134" s="482"/>
      <c r="AD134" s="482"/>
      <c r="AE134" s="482"/>
      <c r="AF134" s="482"/>
      <c r="AG134" s="482"/>
    </row>
    <row r="135" spans="1:33" s="24" customFormat="1">
      <c r="A135" s="30"/>
      <c r="B135" s="486" t="s">
        <v>1627</v>
      </c>
      <c r="C135" s="950">
        <v>5.2230090872373413E-3</v>
      </c>
      <c r="D135" s="487" t="s">
        <v>1121</v>
      </c>
      <c r="E135" s="1501"/>
      <c r="F135" s="30"/>
      <c r="G135" s="482"/>
      <c r="H135" s="482"/>
      <c r="I135" s="482"/>
      <c r="J135" s="482"/>
      <c r="K135" s="482"/>
      <c r="L135" s="482"/>
      <c r="M135" s="482"/>
      <c r="N135" s="482"/>
      <c r="O135" s="482"/>
      <c r="P135" s="482"/>
      <c r="Q135" s="482"/>
      <c r="R135" s="482"/>
      <c r="S135" s="482"/>
      <c r="T135" s="482"/>
      <c r="U135" s="482"/>
      <c r="V135" s="482"/>
      <c r="W135" s="482"/>
      <c r="X135" s="482"/>
      <c r="Y135" s="482"/>
      <c r="Z135" s="482"/>
      <c r="AA135" s="482"/>
      <c r="AB135" s="482"/>
      <c r="AC135" s="482"/>
      <c r="AD135" s="482"/>
      <c r="AE135" s="482"/>
      <c r="AF135" s="482"/>
      <c r="AG135" s="482"/>
    </row>
    <row r="136" spans="1:33" s="24" customFormat="1">
      <c r="A136" s="30"/>
      <c r="B136" s="486" t="s">
        <v>1628</v>
      </c>
      <c r="C136" s="950">
        <v>4.3896406724432619E-3</v>
      </c>
      <c r="D136" s="487" t="s">
        <v>1121</v>
      </c>
      <c r="E136" s="1501"/>
      <c r="F136" s="30"/>
      <c r="G136" s="482"/>
      <c r="H136" s="482"/>
      <c r="I136" s="482"/>
      <c r="J136" s="482"/>
      <c r="K136" s="482"/>
      <c r="L136" s="482"/>
      <c r="M136" s="482"/>
      <c r="N136" s="482"/>
      <c r="O136" s="482"/>
      <c r="P136" s="482"/>
      <c r="Q136" s="482"/>
      <c r="R136" s="482"/>
      <c r="S136" s="482"/>
      <c r="T136" s="482"/>
      <c r="U136" s="482"/>
      <c r="V136" s="482"/>
      <c r="W136" s="482"/>
      <c r="X136" s="482"/>
      <c r="Y136" s="482"/>
      <c r="Z136" s="482"/>
      <c r="AA136" s="482"/>
      <c r="AB136" s="482"/>
      <c r="AC136" s="482"/>
      <c r="AD136" s="482"/>
      <c r="AE136" s="482"/>
      <c r="AF136" s="482"/>
      <c r="AG136" s="482"/>
    </row>
    <row r="137" spans="1:33" s="24" customFormat="1">
      <c r="A137" s="30"/>
      <c r="B137" s="488" t="s">
        <v>1629</v>
      </c>
      <c r="C137" s="951">
        <v>5.4133401354918911E-3</v>
      </c>
      <c r="D137" s="489" t="s">
        <v>1121</v>
      </c>
      <c r="E137" s="1501"/>
      <c r="F137" s="30"/>
      <c r="G137" s="482"/>
      <c r="H137" s="482"/>
      <c r="I137" s="482"/>
      <c r="J137" s="482"/>
      <c r="K137" s="482"/>
      <c r="L137" s="482"/>
      <c r="M137" s="482"/>
      <c r="N137" s="482"/>
      <c r="O137" s="482"/>
      <c r="P137" s="482"/>
      <c r="Q137" s="482"/>
      <c r="R137" s="482"/>
      <c r="S137" s="482"/>
      <c r="T137" s="482"/>
      <c r="U137" s="482"/>
      <c r="V137" s="482"/>
      <c r="W137" s="482"/>
      <c r="X137" s="482"/>
      <c r="Y137" s="482"/>
      <c r="Z137" s="482"/>
      <c r="AA137" s="482"/>
      <c r="AB137" s="482"/>
      <c r="AC137" s="482"/>
      <c r="AD137" s="482"/>
      <c r="AE137" s="482"/>
      <c r="AF137" s="482"/>
      <c r="AG137" s="482"/>
    </row>
    <row r="138" spans="1:33" s="24" customFormat="1">
      <c r="A138" s="30"/>
      <c r="B138" s="483" t="s">
        <v>1630</v>
      </c>
      <c r="C138" s="818"/>
      <c r="D138" s="820"/>
      <c r="E138" s="1501"/>
      <c r="F138" s="30"/>
      <c r="G138" s="482"/>
      <c r="H138" s="482"/>
      <c r="I138" s="482"/>
      <c r="J138" s="482"/>
      <c r="K138" s="482"/>
      <c r="L138" s="482"/>
      <c r="M138" s="482"/>
      <c r="N138" s="482"/>
      <c r="O138" s="482"/>
      <c r="P138" s="482"/>
      <c r="Q138" s="482"/>
      <c r="R138" s="482"/>
      <c r="S138" s="482"/>
      <c r="T138" s="482"/>
      <c r="U138" s="482"/>
      <c r="V138" s="482"/>
      <c r="W138" s="482"/>
      <c r="X138" s="482"/>
      <c r="Y138" s="482"/>
      <c r="Z138" s="482"/>
      <c r="AA138" s="482"/>
      <c r="AB138" s="482"/>
      <c r="AC138" s="482"/>
      <c r="AD138" s="482"/>
      <c r="AE138" s="482"/>
      <c r="AF138" s="482"/>
      <c r="AG138" s="482"/>
    </row>
    <row r="139" spans="1:33" s="24" customFormat="1">
      <c r="A139" s="30"/>
      <c r="B139" s="484" t="s">
        <v>1631</v>
      </c>
      <c r="C139" s="949">
        <v>0.21627344677402049</v>
      </c>
      <c r="D139" s="485" t="s">
        <v>174</v>
      </c>
      <c r="E139" s="1501"/>
      <c r="F139" s="30"/>
      <c r="G139" s="482"/>
      <c r="H139" s="482"/>
      <c r="I139" s="482"/>
      <c r="J139" s="482"/>
      <c r="K139" s="482"/>
      <c r="L139" s="482"/>
      <c r="M139" s="482"/>
      <c r="N139" s="482"/>
      <c r="O139" s="482"/>
      <c r="P139" s="482"/>
      <c r="Q139" s="482"/>
      <c r="R139" s="482"/>
      <c r="S139" s="482"/>
      <c r="T139" s="482"/>
      <c r="U139" s="482"/>
      <c r="V139" s="482"/>
      <c r="W139" s="482"/>
      <c r="X139" s="482"/>
      <c r="Y139" s="482"/>
      <c r="Z139" s="482"/>
      <c r="AA139" s="482"/>
      <c r="AB139" s="482"/>
      <c r="AC139" s="482"/>
      <c r="AD139" s="482"/>
      <c r="AE139" s="482"/>
      <c r="AF139" s="482"/>
      <c r="AG139" s="482"/>
    </row>
    <row r="140" spans="1:33" s="24" customFormat="1">
      <c r="A140" s="30"/>
      <c r="B140" s="486" t="s">
        <v>1632</v>
      </c>
      <c r="C140" s="950">
        <v>3.7073925977662223E-3</v>
      </c>
      <c r="D140" s="487" t="s">
        <v>175</v>
      </c>
      <c r="E140" s="1501"/>
      <c r="F140" s="30"/>
      <c r="G140" s="482"/>
      <c r="H140" s="482"/>
      <c r="I140" s="482"/>
      <c r="J140" s="482"/>
      <c r="K140" s="482"/>
      <c r="L140" s="482"/>
      <c r="M140" s="482"/>
      <c r="N140" s="482"/>
      <c r="O140" s="482"/>
      <c r="P140" s="482"/>
      <c r="Q140" s="482"/>
      <c r="R140" s="482"/>
      <c r="S140" s="482"/>
      <c r="T140" s="482"/>
      <c r="U140" s="482"/>
      <c r="V140" s="482"/>
      <c r="W140" s="482"/>
      <c r="X140" s="482"/>
      <c r="Y140" s="482"/>
      <c r="Z140" s="482"/>
      <c r="AA140" s="482"/>
      <c r="AB140" s="482"/>
      <c r="AC140" s="482"/>
      <c r="AD140" s="482"/>
      <c r="AE140" s="482"/>
      <c r="AF140" s="482"/>
      <c r="AG140" s="482"/>
    </row>
    <row r="141" spans="1:33" s="24" customFormat="1">
      <c r="A141" s="30"/>
      <c r="B141" s="486" t="s">
        <v>1633</v>
      </c>
      <c r="C141" s="950">
        <v>1.3441746209322876E-2</v>
      </c>
      <c r="D141" s="487" t="s">
        <v>175</v>
      </c>
      <c r="E141" s="1501"/>
      <c r="F141" s="30"/>
      <c r="G141" s="482"/>
      <c r="H141" s="482"/>
      <c r="I141" s="482"/>
      <c r="J141" s="482"/>
      <c r="K141" s="482"/>
      <c r="L141" s="482"/>
      <c r="M141" s="482"/>
      <c r="N141" s="482"/>
      <c r="O141" s="482"/>
      <c r="P141" s="482"/>
      <c r="Q141" s="482"/>
      <c r="R141" s="482"/>
      <c r="S141" s="482"/>
      <c r="T141" s="482"/>
      <c r="U141" s="482"/>
      <c r="V141" s="482"/>
      <c r="W141" s="482"/>
      <c r="X141" s="482"/>
      <c r="Y141" s="482"/>
      <c r="Z141" s="482"/>
      <c r="AA141" s="482"/>
      <c r="AB141" s="482"/>
      <c r="AC141" s="482"/>
      <c r="AD141" s="482"/>
      <c r="AE141" s="482"/>
      <c r="AF141" s="482"/>
      <c r="AG141" s="482"/>
    </row>
    <row r="142" spans="1:33" s="24" customFormat="1">
      <c r="A142" s="30"/>
      <c r="B142" s="486" t="s">
        <v>1634</v>
      </c>
      <c r="C142" s="950">
        <v>2.4555844787771969E-3</v>
      </c>
      <c r="D142" s="487" t="s">
        <v>175</v>
      </c>
      <c r="E142" s="1501"/>
      <c r="F142" s="30"/>
      <c r="G142" s="482"/>
      <c r="H142" s="482"/>
      <c r="I142" s="482"/>
      <c r="J142" s="482"/>
      <c r="K142" s="482"/>
      <c r="L142" s="482"/>
      <c r="M142" s="482"/>
      <c r="N142" s="482"/>
      <c r="O142" s="482"/>
      <c r="P142" s="482"/>
      <c r="Q142" s="482"/>
      <c r="R142" s="482"/>
      <c r="S142" s="482"/>
      <c r="T142" s="482"/>
      <c r="U142" s="482"/>
      <c r="V142" s="482"/>
      <c r="W142" s="482"/>
      <c r="X142" s="482"/>
      <c r="Y142" s="482"/>
      <c r="Z142" s="482"/>
      <c r="AA142" s="482"/>
      <c r="AB142" s="482"/>
      <c r="AC142" s="482"/>
      <c r="AD142" s="482"/>
      <c r="AE142" s="482"/>
      <c r="AF142" s="482"/>
      <c r="AG142" s="482"/>
    </row>
    <row r="143" spans="1:33" s="24" customFormat="1">
      <c r="A143" s="30"/>
      <c r="B143" s="488" t="s">
        <v>1635</v>
      </c>
      <c r="C143" s="951">
        <v>6.0198969288459123E-2</v>
      </c>
      <c r="D143" s="489" t="s">
        <v>175</v>
      </c>
      <c r="E143" s="1501"/>
      <c r="F143" s="30"/>
      <c r="G143" s="482"/>
      <c r="H143" s="482"/>
      <c r="I143" s="482"/>
      <c r="J143" s="482"/>
      <c r="K143" s="482"/>
      <c r="L143" s="482"/>
      <c r="M143" s="482"/>
      <c r="N143" s="482"/>
      <c r="O143" s="482"/>
      <c r="P143" s="482"/>
      <c r="Q143" s="482"/>
      <c r="R143" s="482"/>
      <c r="S143" s="482"/>
      <c r="T143" s="482"/>
      <c r="U143" s="482"/>
      <c r="V143" s="482"/>
      <c r="W143" s="482"/>
      <c r="X143" s="482"/>
      <c r="Y143" s="482"/>
      <c r="Z143" s="482"/>
      <c r="AA143" s="482"/>
      <c r="AB143" s="482"/>
      <c r="AC143" s="482"/>
      <c r="AD143" s="482"/>
      <c r="AE143" s="482"/>
      <c r="AF143" s="482"/>
      <c r="AG143" s="482"/>
    </row>
    <row r="144" spans="1:33" s="24" customFormat="1">
      <c r="A144" s="30"/>
      <c r="B144" s="483" t="s">
        <v>1636</v>
      </c>
      <c r="C144" s="818"/>
      <c r="D144" s="820"/>
      <c r="E144" s="1501"/>
      <c r="F144" s="30"/>
      <c r="G144" s="482"/>
      <c r="H144" s="482"/>
      <c r="I144" s="482"/>
      <c r="J144" s="482"/>
      <c r="K144" s="482"/>
      <c r="L144" s="482"/>
      <c r="M144" s="482"/>
      <c r="N144" s="482"/>
      <c r="O144" s="482"/>
      <c r="P144" s="482"/>
      <c r="Q144" s="482"/>
      <c r="R144" s="482"/>
      <c r="S144" s="482"/>
      <c r="T144" s="482"/>
      <c r="U144" s="482"/>
      <c r="V144" s="482"/>
      <c r="W144" s="482"/>
      <c r="X144" s="482"/>
      <c r="Y144" s="482"/>
      <c r="Z144" s="482"/>
      <c r="AA144" s="482"/>
      <c r="AB144" s="482"/>
      <c r="AC144" s="482"/>
      <c r="AD144" s="482"/>
      <c r="AE144" s="482"/>
      <c r="AF144" s="482"/>
      <c r="AG144" s="482"/>
    </row>
    <row r="145" spans="1:33" s="24" customFormat="1">
      <c r="A145" s="30"/>
      <c r="B145" s="484" t="s">
        <v>1637</v>
      </c>
      <c r="C145" s="949">
        <v>1.2602440712900843E-3</v>
      </c>
      <c r="D145" s="485" t="s">
        <v>1121</v>
      </c>
      <c r="E145" s="1501"/>
      <c r="F145" s="30"/>
      <c r="G145" s="482"/>
      <c r="H145" s="482"/>
      <c r="I145" s="482"/>
      <c r="J145" s="482"/>
      <c r="K145" s="482"/>
      <c r="L145" s="482"/>
      <c r="M145" s="482"/>
      <c r="N145" s="482"/>
      <c r="O145" s="482"/>
      <c r="P145" s="482"/>
      <c r="Q145" s="482"/>
      <c r="R145" s="482"/>
      <c r="S145" s="482"/>
      <c r="T145" s="482"/>
      <c r="U145" s="482"/>
      <c r="V145" s="482"/>
      <c r="W145" s="482"/>
      <c r="X145" s="482"/>
      <c r="Y145" s="482"/>
      <c r="Z145" s="482"/>
      <c r="AA145" s="482"/>
      <c r="AB145" s="482"/>
      <c r="AC145" s="482"/>
      <c r="AD145" s="482"/>
      <c r="AE145" s="482"/>
      <c r="AF145" s="482"/>
      <c r="AG145" s="482"/>
    </row>
    <row r="146" spans="1:33" s="24" customFormat="1">
      <c r="A146" s="30"/>
      <c r="B146" s="486" t="s">
        <v>1638</v>
      </c>
      <c r="C146" s="950">
        <v>6.2343173910874407E-3</v>
      </c>
      <c r="D146" s="487" t="s">
        <v>1121</v>
      </c>
      <c r="E146" s="1501"/>
      <c r="F146" s="30"/>
      <c r="G146" s="482"/>
      <c r="H146" s="482"/>
      <c r="I146" s="482"/>
      <c r="J146" s="482"/>
      <c r="K146" s="482"/>
      <c r="L146" s="482"/>
      <c r="M146" s="482"/>
      <c r="N146" s="482"/>
      <c r="O146" s="482"/>
      <c r="P146" s="482"/>
      <c r="Q146" s="482"/>
      <c r="R146" s="482"/>
      <c r="S146" s="482"/>
      <c r="T146" s="482"/>
      <c r="U146" s="482"/>
      <c r="V146" s="482"/>
      <c r="W146" s="482"/>
      <c r="X146" s="482"/>
      <c r="Y146" s="482"/>
      <c r="Z146" s="482"/>
      <c r="AA146" s="482"/>
      <c r="AB146" s="482"/>
      <c r="AC146" s="482"/>
      <c r="AD146" s="482"/>
      <c r="AE146" s="482"/>
      <c r="AF146" s="482"/>
      <c r="AG146" s="482"/>
    </row>
    <row r="147" spans="1:33" s="24" customFormat="1">
      <c r="A147" s="30"/>
      <c r="B147" s="486" t="s">
        <v>1639</v>
      </c>
      <c r="C147" s="950">
        <v>3.3735904599384525E-2</v>
      </c>
      <c r="D147" s="487" t="s">
        <v>177</v>
      </c>
      <c r="E147" s="1501"/>
      <c r="F147" s="30"/>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c r="AE147" s="482"/>
      <c r="AF147" s="482"/>
      <c r="AG147" s="482"/>
    </row>
    <row r="148" spans="1:33" s="24" customFormat="1">
      <c r="A148" s="30"/>
      <c r="B148" s="486" t="s">
        <v>1640</v>
      </c>
      <c r="C148" s="950">
        <v>2.9793635585175848E-2</v>
      </c>
      <c r="D148" s="487" t="s">
        <v>177</v>
      </c>
      <c r="E148" s="1501"/>
      <c r="F148" s="30"/>
      <c r="G148" s="482"/>
      <c r="H148" s="482"/>
      <c r="I148" s="482"/>
      <c r="J148" s="482"/>
      <c r="K148" s="482"/>
      <c r="L148" s="482"/>
      <c r="M148" s="482"/>
      <c r="N148" s="482"/>
      <c r="O148" s="482"/>
      <c r="P148" s="482"/>
      <c r="Q148" s="482"/>
      <c r="R148" s="482"/>
      <c r="S148" s="482"/>
      <c r="T148" s="482"/>
      <c r="U148" s="482"/>
      <c r="V148" s="482"/>
      <c r="W148" s="482"/>
      <c r="X148" s="482"/>
      <c r="Y148" s="482"/>
      <c r="Z148" s="482"/>
      <c r="AA148" s="482"/>
      <c r="AB148" s="482"/>
      <c r="AC148" s="482"/>
      <c r="AD148" s="482"/>
      <c r="AE148" s="482"/>
      <c r="AF148" s="482"/>
      <c r="AG148" s="482"/>
    </row>
    <row r="149" spans="1:33" s="24" customFormat="1">
      <c r="A149" s="30"/>
      <c r="B149" s="486" t="s">
        <v>1641</v>
      </c>
      <c r="C149" s="950">
        <v>2.5612235274499904E-3</v>
      </c>
      <c r="D149" s="487" t="s">
        <v>1121</v>
      </c>
      <c r="E149" s="1501"/>
      <c r="F149" s="30"/>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c r="AE149" s="482"/>
      <c r="AF149" s="482"/>
      <c r="AG149" s="482"/>
    </row>
    <row r="150" spans="1:33" s="24" customFormat="1">
      <c r="A150" s="30"/>
      <c r="B150" s="486" t="s">
        <v>1642</v>
      </c>
      <c r="C150" s="950">
        <v>8.6596116482295354E-3</v>
      </c>
      <c r="D150" s="487" t="s">
        <v>1121</v>
      </c>
      <c r="E150" s="1501"/>
      <c r="F150" s="30"/>
      <c r="G150" s="482"/>
      <c r="H150" s="482"/>
      <c r="I150" s="482"/>
      <c r="J150" s="482"/>
      <c r="K150" s="482"/>
      <c r="L150" s="482"/>
      <c r="M150" s="482"/>
      <c r="N150" s="482"/>
      <c r="O150" s="482"/>
      <c r="P150" s="482"/>
      <c r="Q150" s="482"/>
      <c r="R150" s="482"/>
      <c r="S150" s="482"/>
      <c r="T150" s="482"/>
      <c r="U150" s="482"/>
      <c r="V150" s="482"/>
      <c r="W150" s="482"/>
      <c r="X150" s="482"/>
      <c r="Y150" s="482"/>
      <c r="Z150" s="482"/>
      <c r="AA150" s="482"/>
      <c r="AB150" s="482"/>
      <c r="AC150" s="482"/>
      <c r="AD150" s="482"/>
      <c r="AE150" s="482"/>
      <c r="AF150" s="482"/>
      <c r="AG150" s="482"/>
    </row>
    <row r="151" spans="1:33" s="24" customFormat="1">
      <c r="A151" s="30"/>
      <c r="B151" s="486" t="s">
        <v>1643</v>
      </c>
      <c r="C151" s="950">
        <v>1.8099266296306673E-2</v>
      </c>
      <c r="D151" s="487" t="s">
        <v>1121</v>
      </c>
      <c r="E151" s="1501"/>
      <c r="F151" s="30"/>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c r="AE151" s="482"/>
      <c r="AF151" s="482"/>
      <c r="AG151" s="482"/>
    </row>
    <row r="152" spans="1:33" s="24" customFormat="1">
      <c r="A152" s="30"/>
      <c r="B152" s="488" t="s">
        <v>1644</v>
      </c>
      <c r="C152" s="951">
        <v>2.1118200717438647E-2</v>
      </c>
      <c r="D152" s="489" t="s">
        <v>1121</v>
      </c>
      <c r="E152" s="1501"/>
      <c r="F152" s="30"/>
      <c r="G152" s="482"/>
      <c r="H152" s="482"/>
      <c r="I152" s="482"/>
      <c r="J152" s="482"/>
      <c r="K152" s="482"/>
      <c r="L152" s="482"/>
      <c r="M152" s="482"/>
      <c r="N152" s="482"/>
      <c r="O152" s="482"/>
      <c r="P152" s="482"/>
      <c r="Q152" s="482"/>
      <c r="R152" s="482"/>
      <c r="S152" s="482"/>
      <c r="T152" s="482"/>
      <c r="U152" s="482"/>
      <c r="V152" s="482"/>
      <c r="W152" s="482"/>
      <c r="X152" s="482"/>
      <c r="Y152" s="482"/>
      <c r="Z152" s="482"/>
      <c r="AA152" s="482"/>
      <c r="AB152" s="482"/>
      <c r="AC152" s="482"/>
      <c r="AD152" s="482"/>
      <c r="AE152" s="482"/>
      <c r="AF152" s="482"/>
      <c r="AG152" s="482"/>
    </row>
    <row r="153" spans="1:33" s="24" customFormat="1">
      <c r="A153" s="30"/>
      <c r="B153" s="483" t="s">
        <v>1645</v>
      </c>
      <c r="C153" s="818"/>
      <c r="D153" s="820"/>
      <c r="E153" s="1501"/>
      <c r="F153" s="30"/>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c r="AE153" s="482"/>
      <c r="AF153" s="482"/>
      <c r="AG153" s="482"/>
    </row>
    <row r="154" spans="1:33" s="24" customFormat="1">
      <c r="A154" s="30"/>
      <c r="B154" s="484" t="s">
        <v>1646</v>
      </c>
      <c r="C154" s="949">
        <v>0</v>
      </c>
      <c r="D154" s="485" t="s">
        <v>1121</v>
      </c>
      <c r="E154" s="1501"/>
      <c r="F154" s="30"/>
      <c r="G154" s="482"/>
      <c r="H154" s="482"/>
      <c r="I154" s="482"/>
      <c r="J154" s="482"/>
      <c r="K154" s="482"/>
      <c r="L154" s="482"/>
      <c r="M154" s="482"/>
      <c r="N154" s="482"/>
      <c r="O154" s="482"/>
      <c r="P154" s="482"/>
      <c r="Q154" s="482"/>
      <c r="R154" s="482"/>
      <c r="S154" s="482"/>
      <c r="T154" s="482"/>
      <c r="U154" s="482"/>
      <c r="V154" s="482"/>
      <c r="W154" s="482"/>
      <c r="X154" s="482"/>
      <c r="Y154" s="482"/>
      <c r="Z154" s="482"/>
      <c r="AA154" s="482"/>
      <c r="AB154" s="482"/>
      <c r="AC154" s="482"/>
      <c r="AD154" s="482"/>
      <c r="AE154" s="482"/>
      <c r="AF154" s="482"/>
      <c r="AG154" s="482"/>
    </row>
    <row r="155" spans="1:33" s="24" customFormat="1">
      <c r="A155" s="30"/>
      <c r="B155" s="486" t="s">
        <v>1647</v>
      </c>
      <c r="C155" s="950">
        <v>0</v>
      </c>
      <c r="D155" s="487" t="s">
        <v>1121</v>
      </c>
      <c r="E155" s="1501"/>
      <c r="F155" s="30"/>
      <c r="G155" s="482"/>
      <c r="H155" s="482"/>
      <c r="I155" s="482"/>
      <c r="J155" s="482"/>
      <c r="K155" s="482"/>
      <c r="L155" s="482"/>
      <c r="M155" s="482"/>
      <c r="N155" s="482"/>
      <c r="O155" s="482"/>
      <c r="P155" s="482"/>
      <c r="Q155" s="482"/>
      <c r="R155" s="482"/>
      <c r="S155" s="482"/>
      <c r="T155" s="482"/>
      <c r="U155" s="482"/>
      <c r="V155" s="482"/>
      <c r="W155" s="482"/>
      <c r="X155" s="482"/>
      <c r="Y155" s="482"/>
      <c r="Z155" s="482"/>
      <c r="AA155" s="482"/>
      <c r="AB155" s="482"/>
      <c r="AC155" s="482"/>
      <c r="AD155" s="482"/>
      <c r="AE155" s="482"/>
      <c r="AF155" s="482"/>
      <c r="AG155" s="482"/>
    </row>
    <row r="156" spans="1:33" s="24" customFormat="1">
      <c r="A156" s="30"/>
      <c r="B156" s="486" t="s">
        <v>1648</v>
      </c>
      <c r="C156" s="950">
        <v>7.2151003819550977E-4</v>
      </c>
      <c r="D156" s="487" t="s">
        <v>1121</v>
      </c>
      <c r="E156" s="1501"/>
      <c r="F156" s="30"/>
      <c r="G156" s="482"/>
      <c r="H156" s="482"/>
      <c r="I156" s="482"/>
      <c r="J156" s="482"/>
      <c r="K156" s="482"/>
      <c r="L156" s="482"/>
      <c r="M156" s="482"/>
      <c r="N156" s="482"/>
      <c r="O156" s="482"/>
      <c r="P156" s="482"/>
      <c r="Q156" s="482"/>
      <c r="R156" s="482"/>
      <c r="S156" s="482"/>
      <c r="T156" s="482"/>
      <c r="U156" s="482"/>
      <c r="V156" s="482"/>
      <c r="W156" s="482"/>
      <c r="X156" s="482"/>
      <c r="Y156" s="482"/>
      <c r="Z156" s="482"/>
      <c r="AA156" s="482"/>
      <c r="AB156" s="482"/>
      <c r="AC156" s="482"/>
      <c r="AD156" s="482"/>
      <c r="AE156" s="482"/>
      <c r="AF156" s="482"/>
      <c r="AG156" s="482"/>
    </row>
    <row r="157" spans="1:33" s="24" customFormat="1">
      <c r="A157" s="30"/>
      <c r="B157" s="486" t="s">
        <v>1649</v>
      </c>
      <c r="C157" s="950">
        <v>5.9358685839368372E-4</v>
      </c>
      <c r="D157" s="487" t="s">
        <v>1121</v>
      </c>
      <c r="E157" s="1501"/>
      <c r="F157" s="30"/>
      <c r="G157" s="482"/>
      <c r="H157" s="482"/>
      <c r="I157" s="482"/>
      <c r="J157" s="482"/>
      <c r="K157" s="482"/>
      <c r="L157" s="482"/>
      <c r="M157" s="482"/>
      <c r="N157" s="482"/>
      <c r="O157" s="482"/>
      <c r="P157" s="482"/>
      <c r="Q157" s="482"/>
      <c r="R157" s="482"/>
      <c r="S157" s="482"/>
      <c r="T157" s="482"/>
      <c r="U157" s="482"/>
      <c r="V157" s="482"/>
      <c r="W157" s="482"/>
      <c r="X157" s="482"/>
      <c r="Y157" s="482"/>
      <c r="Z157" s="482"/>
      <c r="AA157" s="482"/>
      <c r="AB157" s="482"/>
      <c r="AC157" s="482"/>
      <c r="AD157" s="482"/>
      <c r="AE157" s="482"/>
      <c r="AF157" s="482"/>
      <c r="AG157" s="482"/>
    </row>
    <row r="158" spans="1:33" s="24" customFormat="1">
      <c r="A158" s="30"/>
      <c r="B158" s="486" t="s">
        <v>1650</v>
      </c>
      <c r="C158" s="950">
        <v>3.4992302125184775E-2</v>
      </c>
      <c r="D158" s="487" t="s">
        <v>1121</v>
      </c>
      <c r="E158" s="1501"/>
      <c r="F158" s="30"/>
      <c r="G158" s="482"/>
      <c r="H158" s="482"/>
      <c r="I158" s="482"/>
      <c r="J158" s="482"/>
      <c r="K158" s="482"/>
      <c r="L158" s="482"/>
      <c r="M158" s="482"/>
      <c r="N158" s="482"/>
      <c r="O158" s="482"/>
      <c r="P158" s="482"/>
      <c r="Q158" s="482"/>
      <c r="R158" s="482"/>
      <c r="S158" s="482"/>
      <c r="T158" s="482"/>
      <c r="U158" s="482"/>
      <c r="V158" s="482"/>
      <c r="W158" s="482"/>
      <c r="X158" s="482"/>
      <c r="Y158" s="482"/>
      <c r="Z158" s="482"/>
      <c r="AA158" s="482"/>
      <c r="AB158" s="482"/>
      <c r="AC158" s="482"/>
      <c r="AD158" s="482"/>
      <c r="AE158" s="482"/>
      <c r="AF158" s="482"/>
      <c r="AG158" s="482"/>
    </row>
    <row r="159" spans="1:33" s="24" customFormat="1">
      <c r="A159" s="30"/>
      <c r="B159" s="486" t="s">
        <v>1651</v>
      </c>
      <c r="C159" s="950">
        <v>0</v>
      </c>
      <c r="D159" s="487" t="s">
        <v>1121</v>
      </c>
      <c r="E159" s="1501"/>
      <c r="F159" s="30"/>
      <c r="G159" s="482"/>
      <c r="H159" s="482"/>
      <c r="I159" s="482"/>
      <c r="J159" s="482"/>
      <c r="K159" s="482"/>
      <c r="L159" s="482"/>
      <c r="M159" s="482"/>
      <c r="N159" s="482"/>
      <c r="O159" s="482"/>
      <c r="P159" s="482"/>
      <c r="Q159" s="482"/>
      <c r="R159" s="482"/>
      <c r="S159" s="482"/>
      <c r="T159" s="482"/>
      <c r="U159" s="482"/>
      <c r="V159" s="482"/>
      <c r="W159" s="482"/>
      <c r="X159" s="482"/>
      <c r="Y159" s="482"/>
      <c r="Z159" s="482"/>
      <c r="AA159" s="482"/>
      <c r="AB159" s="482"/>
      <c r="AC159" s="482"/>
      <c r="AD159" s="482"/>
      <c r="AE159" s="482"/>
      <c r="AF159" s="482"/>
      <c r="AG159" s="482"/>
    </row>
    <row r="160" spans="1:33" s="24" customFormat="1">
      <c r="A160" s="30"/>
      <c r="B160" s="486" t="s">
        <v>1652</v>
      </c>
      <c r="C160" s="950">
        <v>1.1834040543689745E-3</v>
      </c>
      <c r="D160" s="487" t="s">
        <v>1121</v>
      </c>
      <c r="E160" s="1501"/>
      <c r="F160" s="30"/>
      <c r="G160" s="482"/>
      <c r="H160" s="482"/>
      <c r="I160" s="482"/>
      <c r="J160" s="482"/>
      <c r="K160" s="482"/>
      <c r="L160" s="482"/>
      <c r="M160" s="482"/>
      <c r="N160" s="482"/>
      <c r="O160" s="482"/>
      <c r="P160" s="482"/>
      <c r="Q160" s="482"/>
      <c r="R160" s="482"/>
      <c r="S160" s="482"/>
      <c r="T160" s="482"/>
      <c r="U160" s="482"/>
      <c r="V160" s="482"/>
      <c r="W160" s="482"/>
      <c r="X160" s="482"/>
      <c r="Y160" s="482"/>
      <c r="Z160" s="482"/>
      <c r="AA160" s="482"/>
      <c r="AB160" s="482"/>
      <c r="AC160" s="482"/>
      <c r="AD160" s="482"/>
      <c r="AE160" s="482"/>
      <c r="AF160" s="482"/>
      <c r="AG160" s="482"/>
    </row>
    <row r="161" spans="1:40" s="24" customFormat="1">
      <c r="A161" s="30"/>
      <c r="B161" s="488" t="s">
        <v>1653</v>
      </c>
      <c r="C161" s="951">
        <v>5.3810598382653531E-4</v>
      </c>
      <c r="D161" s="489" t="s">
        <v>1121</v>
      </c>
      <c r="E161" s="1501"/>
      <c r="F161" s="30"/>
      <c r="G161" s="482"/>
      <c r="H161" s="482"/>
      <c r="I161" s="482"/>
      <c r="J161" s="482"/>
      <c r="K161" s="482"/>
      <c r="L161" s="482"/>
      <c r="M161" s="482"/>
      <c r="N161" s="482"/>
      <c r="O161" s="482"/>
      <c r="P161" s="482"/>
      <c r="Q161" s="482"/>
      <c r="R161" s="482"/>
      <c r="S161" s="482"/>
      <c r="T161" s="482"/>
      <c r="U161" s="482"/>
      <c r="V161" s="482"/>
      <c r="W161" s="482"/>
      <c r="X161" s="482"/>
      <c r="Y161" s="482"/>
      <c r="Z161" s="482"/>
      <c r="AA161" s="482"/>
      <c r="AB161" s="482"/>
      <c r="AC161" s="482"/>
      <c r="AD161" s="482"/>
      <c r="AE161" s="482"/>
      <c r="AF161" s="482"/>
      <c r="AG161" s="482"/>
      <c r="AH161" s="30"/>
      <c r="AI161" s="30"/>
      <c r="AJ161" s="30"/>
      <c r="AK161" s="30"/>
      <c r="AL161" s="30"/>
      <c r="AM161" s="30"/>
      <c r="AN161" s="30"/>
    </row>
    <row r="162" spans="1:40" s="24" customFormat="1">
      <c r="A162" s="30"/>
      <c r="B162" s="483" t="s">
        <v>1654</v>
      </c>
      <c r="C162" s="818"/>
      <c r="D162" s="820"/>
      <c r="E162" s="1501"/>
      <c r="F162" s="30"/>
      <c r="G162" s="482"/>
      <c r="H162" s="482"/>
      <c r="I162" s="482"/>
      <c r="J162" s="482"/>
      <c r="K162" s="482"/>
      <c r="L162" s="482"/>
      <c r="M162" s="482"/>
      <c r="N162" s="482"/>
      <c r="O162" s="482"/>
      <c r="P162" s="482"/>
      <c r="Q162" s="482"/>
      <c r="R162" s="482"/>
      <c r="S162" s="482"/>
      <c r="T162" s="482"/>
      <c r="U162" s="482"/>
      <c r="V162" s="482"/>
      <c r="W162" s="482"/>
      <c r="X162" s="482"/>
      <c r="Y162" s="482"/>
      <c r="Z162" s="482"/>
      <c r="AA162" s="482"/>
      <c r="AB162" s="482"/>
      <c r="AC162" s="482"/>
      <c r="AD162" s="482"/>
      <c r="AE162" s="482"/>
      <c r="AF162" s="482"/>
      <c r="AG162" s="482"/>
      <c r="AH162" s="30"/>
      <c r="AI162" s="30"/>
      <c r="AJ162" s="30"/>
      <c r="AK162" s="30"/>
      <c r="AL162" s="30"/>
      <c r="AM162" s="30"/>
      <c r="AN162" s="30"/>
    </row>
    <row r="163" spans="1:40" s="24" customFormat="1">
      <c r="A163" s="30"/>
      <c r="B163" s="484" t="s">
        <v>1655</v>
      </c>
      <c r="C163" s="949">
        <v>1.3793725111241261E-3</v>
      </c>
      <c r="D163" s="485" t="s">
        <v>1121</v>
      </c>
      <c r="E163" s="1501"/>
      <c r="F163" s="30"/>
      <c r="G163" s="482"/>
      <c r="H163" s="482"/>
      <c r="I163" s="482"/>
      <c r="J163" s="482"/>
      <c r="K163" s="482"/>
      <c r="L163" s="482"/>
      <c r="M163" s="482"/>
      <c r="N163" s="482"/>
      <c r="O163" s="482"/>
      <c r="P163" s="482"/>
      <c r="Q163" s="482"/>
      <c r="R163" s="482"/>
      <c r="S163" s="482"/>
      <c r="T163" s="482"/>
      <c r="U163" s="482"/>
      <c r="V163" s="482"/>
      <c r="W163" s="482"/>
      <c r="X163" s="482"/>
      <c r="Y163" s="482"/>
      <c r="Z163" s="482"/>
      <c r="AA163" s="482"/>
      <c r="AB163" s="482"/>
      <c r="AC163" s="482"/>
      <c r="AD163" s="482"/>
      <c r="AE163" s="482"/>
      <c r="AF163" s="482"/>
      <c r="AG163" s="482"/>
      <c r="AH163" s="30"/>
      <c r="AI163" s="30"/>
      <c r="AJ163" s="30"/>
      <c r="AK163" s="30"/>
      <c r="AL163" s="30"/>
      <c r="AM163" s="30"/>
      <c r="AN163" s="30"/>
    </row>
    <row r="164" spans="1:40" s="24" customFormat="1">
      <c r="A164" s="30"/>
      <c r="B164" s="486" t="s">
        <v>1656</v>
      </c>
      <c r="C164" s="950">
        <v>2.0315179588603809E-3</v>
      </c>
      <c r="D164" s="487" t="s">
        <v>1121</v>
      </c>
      <c r="E164" s="1501"/>
      <c r="F164" s="30"/>
      <c r="G164" s="482"/>
      <c r="H164" s="482"/>
      <c r="I164" s="482"/>
      <c r="J164" s="482"/>
      <c r="K164" s="482"/>
      <c r="L164" s="482"/>
      <c r="M164" s="482"/>
      <c r="N164" s="482"/>
      <c r="O164" s="482"/>
      <c r="P164" s="482"/>
      <c r="Q164" s="482"/>
      <c r="R164" s="482"/>
      <c r="S164" s="482"/>
      <c r="T164" s="482"/>
      <c r="U164" s="482"/>
      <c r="V164" s="482"/>
      <c r="W164" s="482"/>
      <c r="X164" s="482"/>
      <c r="Y164" s="482"/>
      <c r="Z164" s="482"/>
      <c r="AA164" s="482"/>
      <c r="AB164" s="482"/>
      <c r="AC164" s="482"/>
      <c r="AD164" s="482"/>
      <c r="AE164" s="482"/>
      <c r="AF164" s="482"/>
      <c r="AG164" s="482"/>
      <c r="AH164" s="30"/>
      <c r="AI164" s="30"/>
      <c r="AJ164" s="30"/>
      <c r="AK164" s="30"/>
      <c r="AL164" s="30"/>
      <c r="AM164" s="30"/>
      <c r="AN164" s="30"/>
    </row>
    <row r="165" spans="1:40" s="24" customFormat="1">
      <c r="A165" s="30"/>
      <c r="B165" s="488" t="s">
        <v>1657</v>
      </c>
      <c r="C165" s="951">
        <v>3.2607272386812739E-4</v>
      </c>
      <c r="D165" s="489" t="s">
        <v>1121</v>
      </c>
      <c r="E165" s="1501"/>
      <c r="F165" s="30"/>
      <c r="G165" s="482"/>
      <c r="H165" s="482"/>
      <c r="I165" s="482"/>
      <c r="J165" s="482"/>
      <c r="K165" s="482"/>
      <c r="L165" s="482"/>
      <c r="M165" s="482"/>
      <c r="N165" s="482"/>
      <c r="O165" s="482"/>
      <c r="P165" s="482"/>
      <c r="Q165" s="482"/>
      <c r="R165" s="482"/>
      <c r="S165" s="482"/>
      <c r="T165" s="482"/>
      <c r="U165" s="482"/>
      <c r="V165" s="482"/>
      <c r="W165" s="482"/>
      <c r="X165" s="482"/>
      <c r="Y165" s="482"/>
      <c r="Z165" s="482"/>
      <c r="AA165" s="482"/>
      <c r="AB165" s="482"/>
      <c r="AC165" s="482"/>
      <c r="AD165" s="482"/>
      <c r="AE165" s="482"/>
      <c r="AF165" s="482"/>
      <c r="AG165" s="482"/>
      <c r="AH165" s="30"/>
      <c r="AI165" s="30"/>
      <c r="AJ165" s="30"/>
      <c r="AK165" s="30"/>
      <c r="AL165" s="30"/>
      <c r="AM165" s="30"/>
      <c r="AN165" s="30"/>
    </row>
    <row r="166" spans="1:40" s="24" customFormat="1">
      <c r="A166" s="30"/>
      <c r="B166" s="483" t="s">
        <v>1658</v>
      </c>
      <c r="C166" s="818"/>
      <c r="D166" s="820"/>
      <c r="E166" s="1501"/>
      <c r="F166" s="30"/>
      <c r="G166" s="482"/>
      <c r="H166" s="482"/>
      <c r="I166" s="482"/>
      <c r="J166" s="482"/>
      <c r="K166" s="482"/>
      <c r="L166" s="482"/>
      <c r="M166" s="482"/>
      <c r="N166" s="482"/>
      <c r="O166" s="482"/>
      <c r="P166" s="482"/>
      <c r="Q166" s="482"/>
      <c r="R166" s="482"/>
      <c r="S166" s="482"/>
      <c r="T166" s="482"/>
      <c r="U166" s="482"/>
      <c r="V166" s="482"/>
      <c r="W166" s="482"/>
      <c r="X166" s="482"/>
      <c r="Y166" s="482"/>
      <c r="Z166" s="482"/>
      <c r="AA166" s="482"/>
      <c r="AB166" s="482"/>
      <c r="AC166" s="482"/>
      <c r="AD166" s="482"/>
      <c r="AE166" s="482"/>
      <c r="AF166" s="482"/>
      <c r="AG166" s="482"/>
      <c r="AH166" s="30"/>
      <c r="AI166" s="30"/>
      <c r="AJ166" s="30"/>
      <c r="AK166" s="30"/>
      <c r="AL166" s="30"/>
      <c r="AM166" s="30"/>
      <c r="AN166" s="30"/>
    </row>
    <row r="167" spans="1:40" s="24" customFormat="1">
      <c r="A167" s="30"/>
      <c r="B167" s="484" t="s">
        <v>1659</v>
      </c>
      <c r="C167" s="949">
        <v>4.127717816575443E-3</v>
      </c>
      <c r="D167" s="485" t="s">
        <v>1121</v>
      </c>
      <c r="E167" s="1501"/>
      <c r="F167" s="30"/>
      <c r="G167" s="482"/>
      <c r="H167" s="482"/>
      <c r="I167" s="482"/>
      <c r="J167" s="482"/>
      <c r="K167" s="482"/>
      <c r="L167" s="482"/>
      <c r="M167" s="482"/>
      <c r="N167" s="482"/>
      <c r="O167" s="482"/>
      <c r="P167" s="482"/>
      <c r="Q167" s="482"/>
      <c r="R167" s="482"/>
      <c r="S167" s="482"/>
      <c r="T167" s="482"/>
      <c r="U167" s="482"/>
      <c r="V167" s="482"/>
      <c r="W167" s="482"/>
      <c r="X167" s="482"/>
      <c r="Y167" s="482"/>
      <c r="Z167" s="482"/>
      <c r="AA167" s="482"/>
      <c r="AB167" s="482"/>
      <c r="AC167" s="482"/>
      <c r="AD167" s="482"/>
      <c r="AE167" s="482"/>
      <c r="AF167" s="482"/>
      <c r="AG167" s="482"/>
      <c r="AH167" s="30"/>
      <c r="AI167" s="30"/>
      <c r="AJ167" s="30"/>
      <c r="AK167" s="30"/>
      <c r="AL167" s="30"/>
      <c r="AM167" s="30"/>
      <c r="AN167" s="30"/>
    </row>
    <row r="168" spans="1:40" s="24" customFormat="1">
      <c r="A168" s="30"/>
      <c r="B168" s="486" t="s">
        <v>1660</v>
      </c>
      <c r="C168" s="950">
        <v>5.1584263504596918E-2</v>
      </c>
      <c r="D168" s="487" t="s">
        <v>178</v>
      </c>
      <c r="E168" s="1501"/>
      <c r="F168" s="30"/>
      <c r="G168" s="482"/>
      <c r="H168" s="482"/>
      <c r="I168" s="482"/>
      <c r="J168" s="482"/>
      <c r="K168" s="482"/>
      <c r="L168" s="482"/>
      <c r="M168" s="482"/>
      <c r="N168" s="482"/>
      <c r="O168" s="482"/>
      <c r="P168" s="482"/>
      <c r="Q168" s="482"/>
      <c r="R168" s="482"/>
      <c r="S168" s="482"/>
      <c r="T168" s="482"/>
      <c r="U168" s="482"/>
      <c r="V168" s="482"/>
      <c r="W168" s="482"/>
      <c r="X168" s="482"/>
      <c r="Y168" s="482"/>
      <c r="Z168" s="482"/>
      <c r="AA168" s="482"/>
      <c r="AB168" s="482"/>
      <c r="AC168" s="482"/>
      <c r="AD168" s="482"/>
      <c r="AE168" s="482"/>
      <c r="AF168" s="482"/>
      <c r="AG168" s="482"/>
      <c r="AH168" s="30"/>
      <c r="AI168" s="30"/>
      <c r="AJ168" s="30"/>
      <c r="AK168" s="30"/>
      <c r="AL168" s="30"/>
      <c r="AM168" s="30"/>
      <c r="AN168" s="30"/>
    </row>
    <row r="169" spans="1:40" s="24" customFormat="1">
      <c r="A169" s="30"/>
      <c r="B169" s="486" t="s">
        <v>1661</v>
      </c>
      <c r="C169" s="950">
        <v>2.1704597470991165E-2</v>
      </c>
      <c r="D169" s="487" t="s">
        <v>1121</v>
      </c>
      <c r="E169" s="1501"/>
      <c r="F169" s="30"/>
      <c r="G169" s="482"/>
      <c r="H169" s="482"/>
      <c r="I169" s="482"/>
      <c r="J169" s="482"/>
      <c r="K169" s="482"/>
      <c r="L169" s="482"/>
      <c r="M169" s="482"/>
      <c r="N169" s="482"/>
      <c r="O169" s="482"/>
      <c r="P169" s="482"/>
      <c r="Q169" s="482"/>
      <c r="R169" s="482"/>
      <c r="S169" s="482"/>
      <c r="T169" s="482"/>
      <c r="U169" s="482"/>
      <c r="V169" s="482"/>
      <c r="W169" s="482"/>
      <c r="X169" s="482"/>
      <c r="Y169" s="482"/>
      <c r="Z169" s="482"/>
      <c r="AA169" s="482"/>
      <c r="AB169" s="482"/>
      <c r="AC169" s="482"/>
      <c r="AD169" s="482"/>
      <c r="AE169" s="482"/>
      <c r="AF169" s="482"/>
      <c r="AG169" s="482"/>
      <c r="AH169" s="30"/>
      <c r="AI169" s="30"/>
      <c r="AJ169" s="30"/>
      <c r="AK169" s="30"/>
      <c r="AL169" s="30"/>
      <c r="AM169" s="30"/>
      <c r="AN169" s="30"/>
    </row>
    <row r="170" spans="1:40" s="24" customFormat="1">
      <c r="A170" s="30"/>
      <c r="B170" s="486" t="s">
        <v>1662</v>
      </c>
      <c r="C170" s="950">
        <v>5.7989210400605218E-4</v>
      </c>
      <c r="D170" s="487" t="s">
        <v>1121</v>
      </c>
      <c r="E170" s="1501"/>
      <c r="F170" s="30"/>
      <c r="G170" s="482"/>
      <c r="H170" s="482"/>
      <c r="I170" s="482"/>
      <c r="J170" s="482"/>
      <c r="K170" s="482"/>
      <c r="L170" s="482"/>
      <c r="M170" s="482"/>
      <c r="N170" s="482"/>
      <c r="O170" s="482"/>
      <c r="P170" s="482"/>
      <c r="Q170" s="482"/>
      <c r="R170" s="482"/>
      <c r="S170" s="482"/>
      <c r="T170" s="482"/>
      <c r="U170" s="482"/>
      <c r="V170" s="482"/>
      <c r="W170" s="482"/>
      <c r="X170" s="482"/>
      <c r="Y170" s="482"/>
      <c r="Z170" s="482"/>
      <c r="AA170" s="482"/>
      <c r="AB170" s="482"/>
      <c r="AC170" s="482"/>
      <c r="AD170" s="482"/>
      <c r="AE170" s="482"/>
      <c r="AF170" s="482"/>
      <c r="AG170" s="482"/>
      <c r="AH170" s="30"/>
      <c r="AI170" s="30"/>
      <c r="AJ170" s="30"/>
      <c r="AK170" s="30"/>
      <c r="AL170" s="30"/>
      <c r="AM170" s="30"/>
      <c r="AN170" s="30"/>
    </row>
    <row r="171" spans="1:40" s="24" customFormat="1">
      <c r="A171" s="30"/>
      <c r="B171" s="486" t="s">
        <v>1663</v>
      </c>
      <c r="C171" s="950">
        <v>0</v>
      </c>
      <c r="D171" s="487" t="s">
        <v>174</v>
      </c>
      <c r="E171" s="1501"/>
      <c r="F171" s="30"/>
      <c r="G171" s="482"/>
      <c r="H171" s="482"/>
      <c r="I171" s="482"/>
      <c r="J171" s="482"/>
      <c r="K171" s="482"/>
      <c r="L171" s="482"/>
      <c r="M171" s="482"/>
      <c r="N171" s="482"/>
      <c r="O171" s="482"/>
      <c r="P171" s="482"/>
      <c r="Q171" s="482"/>
      <c r="R171" s="482"/>
      <c r="S171" s="482"/>
      <c r="T171" s="482"/>
      <c r="U171" s="482"/>
      <c r="V171" s="482"/>
      <c r="W171" s="482"/>
      <c r="X171" s="482"/>
      <c r="Y171" s="482"/>
      <c r="Z171" s="482"/>
      <c r="AA171" s="482"/>
      <c r="AB171" s="482"/>
      <c r="AC171" s="482"/>
      <c r="AD171" s="482"/>
      <c r="AE171" s="482"/>
      <c r="AF171" s="482"/>
      <c r="AG171" s="482"/>
      <c r="AH171" s="30"/>
      <c r="AI171" s="30"/>
      <c r="AJ171" s="30"/>
      <c r="AK171" s="30"/>
      <c r="AL171" s="30"/>
      <c r="AM171" s="30"/>
      <c r="AN171" s="30"/>
    </row>
    <row r="172" spans="1:40" s="24" customFormat="1">
      <c r="A172" s="30"/>
      <c r="B172" s="488" t="s">
        <v>1664</v>
      </c>
      <c r="C172" s="951">
        <v>2.3335675932044931E-2</v>
      </c>
      <c r="D172" s="489" t="s">
        <v>1121</v>
      </c>
      <c r="E172" s="1501"/>
      <c r="F172" s="30"/>
      <c r="G172" s="482"/>
      <c r="H172" s="482"/>
      <c r="I172" s="482"/>
      <c r="J172" s="482"/>
      <c r="K172" s="482"/>
      <c r="L172" s="482"/>
      <c r="M172" s="482"/>
      <c r="N172" s="482"/>
      <c r="O172" s="482"/>
      <c r="P172" s="482"/>
      <c r="Q172" s="482"/>
      <c r="R172" s="482"/>
      <c r="S172" s="482"/>
      <c r="T172" s="482"/>
      <c r="U172" s="482"/>
      <c r="V172" s="482"/>
      <c r="W172" s="482"/>
      <c r="X172" s="482"/>
      <c r="Y172" s="482"/>
      <c r="Z172" s="482"/>
      <c r="AA172" s="482"/>
      <c r="AB172" s="482"/>
      <c r="AC172" s="482"/>
      <c r="AD172" s="482"/>
      <c r="AE172" s="482"/>
      <c r="AF172" s="482"/>
      <c r="AG172" s="482"/>
      <c r="AH172" s="30"/>
      <c r="AI172" s="30"/>
      <c r="AJ172" s="30"/>
      <c r="AK172" s="30"/>
      <c r="AL172" s="30"/>
      <c r="AM172" s="30"/>
      <c r="AN172" s="30"/>
    </row>
    <row r="173" spans="1:40" s="24" customFormat="1" ht="13.9" thickBot="1">
      <c r="A173" s="30"/>
      <c r="B173" s="494" t="s">
        <v>61</v>
      </c>
      <c r="C173" s="952">
        <v>0.99900984220870759</v>
      </c>
      <c r="D173" s="821"/>
      <c r="E173" s="30"/>
      <c r="F173" s="30"/>
      <c r="G173" s="30"/>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482"/>
      <c r="AG173" s="482"/>
      <c r="AH173" s="30"/>
      <c r="AI173" s="30"/>
      <c r="AJ173" s="30"/>
      <c r="AK173" s="30"/>
      <c r="AL173" s="30"/>
      <c r="AM173" s="30"/>
      <c r="AN173" s="30"/>
    </row>
    <row r="174" spans="1:40" s="24" customFormat="1" ht="69" customHeight="1" thickBot="1">
      <c r="A174" s="30"/>
      <c r="B174" s="2062" t="s">
        <v>1665</v>
      </c>
      <c r="C174" s="1908"/>
      <c r="D174" s="461" t="s">
        <v>1666</v>
      </c>
      <c r="E174" s="30"/>
      <c r="F174" s="30"/>
      <c r="G174" s="30"/>
      <c r="H174" s="482"/>
      <c r="I174" s="482"/>
      <c r="J174" s="482"/>
      <c r="K174" s="482"/>
      <c r="L174" s="482"/>
      <c r="M174" s="482"/>
      <c r="N174" s="482"/>
      <c r="O174" s="482"/>
      <c r="P174" s="482"/>
      <c r="Q174" s="482"/>
      <c r="R174" s="482"/>
      <c r="S174" s="482"/>
      <c r="T174" s="482"/>
      <c r="U174" s="482"/>
      <c r="V174" s="482"/>
      <c r="W174" s="482"/>
      <c r="X174" s="482"/>
      <c r="Y174" s="482"/>
      <c r="Z174" s="482"/>
      <c r="AA174" s="482"/>
      <c r="AB174" s="482"/>
      <c r="AC174" s="482"/>
      <c r="AD174" s="482"/>
      <c r="AE174" s="482"/>
      <c r="AF174" s="482"/>
      <c r="AG174" s="482"/>
      <c r="AH174" s="482"/>
      <c r="AI174" s="30"/>
      <c r="AJ174" s="30"/>
      <c r="AK174" s="30"/>
      <c r="AL174" s="30"/>
      <c r="AM174" s="30"/>
      <c r="AN174" s="30"/>
    </row>
    <row r="175" spans="1:40" s="24" customFormat="1">
      <c r="A175" s="30"/>
      <c r="B175" s="30"/>
      <c r="C175" s="30"/>
      <c r="D175" s="30"/>
      <c r="E175" s="30"/>
      <c r="F175" s="30"/>
      <c r="G175" s="30"/>
      <c r="H175" s="482"/>
      <c r="I175" s="482"/>
      <c r="J175" s="482"/>
      <c r="K175" s="482"/>
      <c r="L175" s="482"/>
      <c r="M175" s="482"/>
      <c r="N175" s="482"/>
      <c r="O175" s="482"/>
      <c r="P175" s="482"/>
      <c r="Q175" s="482"/>
      <c r="R175" s="482"/>
      <c r="S175" s="482"/>
      <c r="T175" s="482"/>
      <c r="U175" s="482"/>
      <c r="V175" s="482"/>
      <c r="W175" s="482"/>
      <c r="X175" s="482"/>
      <c r="Y175" s="482"/>
      <c r="Z175" s="482"/>
      <c r="AA175" s="482"/>
      <c r="AB175" s="482"/>
      <c r="AC175" s="482"/>
      <c r="AD175" s="482"/>
      <c r="AE175" s="482"/>
      <c r="AF175" s="482"/>
      <c r="AG175" s="482"/>
      <c r="AH175" s="482"/>
      <c r="AI175" s="30"/>
      <c r="AJ175" s="30"/>
      <c r="AK175" s="30"/>
      <c r="AL175" s="30"/>
      <c r="AM175" s="30"/>
      <c r="AN175" s="30"/>
    </row>
    <row r="176" spans="1:40" s="24" customFormat="1">
      <c r="A176" s="30"/>
      <c r="B176" s="30"/>
      <c r="C176" s="30"/>
      <c r="D176" s="30"/>
      <c r="E176" s="30"/>
      <c r="F176" s="30"/>
      <c r="G176" s="30"/>
      <c r="H176" s="30"/>
      <c r="I176" s="30"/>
      <c r="J176" s="30"/>
      <c r="K176" s="30"/>
      <c r="L176" s="30"/>
      <c r="M176" s="30"/>
      <c r="N176" s="482"/>
      <c r="O176" s="482"/>
      <c r="P176" s="482"/>
      <c r="Q176" s="482"/>
      <c r="R176" s="482"/>
      <c r="S176" s="482"/>
      <c r="T176" s="482"/>
      <c r="U176" s="482"/>
      <c r="V176" s="482"/>
      <c r="W176" s="482"/>
      <c r="X176" s="482"/>
      <c r="Y176" s="482"/>
      <c r="Z176" s="482"/>
      <c r="AA176" s="482"/>
      <c r="AB176" s="482"/>
      <c r="AC176" s="482"/>
      <c r="AD176" s="482"/>
      <c r="AE176" s="482"/>
      <c r="AF176" s="482"/>
      <c r="AG176" s="482"/>
      <c r="AH176" s="482"/>
      <c r="AI176" s="482"/>
      <c r="AJ176" s="482"/>
      <c r="AK176" s="482"/>
      <c r="AL176" s="482"/>
      <c r="AM176" s="482"/>
      <c r="AN176" s="482"/>
    </row>
    <row r="177" spans="1:40" s="24" customFormat="1" ht="24.75" customHeight="1">
      <c r="A177" s="30"/>
      <c r="B177" s="30"/>
      <c r="C177" s="30"/>
      <c r="D177" s="30"/>
      <c r="E177" s="30"/>
      <c r="F177" s="30"/>
      <c r="G177" s="30"/>
      <c r="H177" s="30"/>
      <c r="I177" s="30"/>
      <c r="J177" s="30"/>
      <c r="K177" s="30"/>
      <c r="L177" s="30"/>
      <c r="M177" s="30"/>
      <c r="N177" s="482"/>
      <c r="O177" s="482"/>
      <c r="P177" s="482"/>
      <c r="Q177" s="482"/>
      <c r="R177" s="482"/>
      <c r="S177" s="482"/>
      <c r="T177" s="482"/>
      <c r="U177" s="482"/>
      <c r="V177" s="482"/>
      <c r="W177" s="482"/>
      <c r="X177" s="482"/>
      <c r="Y177" s="482"/>
      <c r="Z177" s="482"/>
      <c r="AA177" s="482"/>
      <c r="AB177" s="482"/>
      <c r="AC177" s="482"/>
      <c r="AD177" s="482"/>
      <c r="AE177" s="482"/>
      <c r="AF177" s="482"/>
      <c r="AG177" s="482"/>
      <c r="AH177" s="482"/>
      <c r="AI177" s="482"/>
      <c r="AJ177" s="482"/>
      <c r="AK177" s="482"/>
      <c r="AL177" s="482"/>
      <c r="AM177" s="482"/>
      <c r="AN177" s="482"/>
    </row>
    <row r="178" spans="1:40" s="24" customFormat="1">
      <c r="A178" s="30"/>
      <c r="B178" s="30"/>
      <c r="C178" s="30"/>
      <c r="D178" s="30"/>
      <c r="E178" s="30"/>
      <c r="F178" s="30"/>
      <c r="G178" s="30"/>
      <c r="H178" s="30"/>
      <c r="I178" s="30"/>
      <c r="J178" s="30"/>
      <c r="K178" s="30"/>
      <c r="L178" s="30"/>
      <c r="M178" s="30"/>
      <c r="N178" s="482"/>
      <c r="O178" s="482"/>
      <c r="P178" s="482"/>
      <c r="Q178" s="482"/>
      <c r="R178" s="482"/>
      <c r="S178" s="482"/>
      <c r="T178" s="482"/>
      <c r="U178" s="482"/>
      <c r="V178" s="482"/>
      <c r="W178" s="482"/>
      <c r="X178" s="482"/>
      <c r="Y178" s="482"/>
      <c r="Z178" s="482"/>
      <c r="AA178" s="482"/>
      <c r="AB178" s="482"/>
      <c r="AC178" s="482"/>
      <c r="AD178" s="482"/>
      <c r="AE178" s="482"/>
      <c r="AF178" s="482"/>
      <c r="AG178" s="482"/>
      <c r="AH178" s="482"/>
      <c r="AI178" s="482"/>
      <c r="AJ178" s="482"/>
      <c r="AK178" s="482"/>
      <c r="AL178" s="482"/>
      <c r="AM178" s="482"/>
      <c r="AN178" s="482"/>
    </row>
    <row r="179" spans="1:40" s="24" customFormat="1">
      <c r="A179" s="30"/>
      <c r="B179" s="30"/>
      <c r="C179" s="30"/>
      <c r="D179" s="30"/>
      <c r="E179" s="30"/>
      <c r="F179" s="30"/>
      <c r="G179" s="30"/>
      <c r="H179" s="30"/>
      <c r="I179" s="30"/>
      <c r="J179" s="30"/>
      <c r="K179" s="30"/>
      <c r="L179" s="30"/>
      <c r="M179" s="30"/>
      <c r="N179" s="482"/>
      <c r="O179" s="482"/>
      <c r="P179" s="482"/>
      <c r="Q179" s="482"/>
      <c r="R179" s="482"/>
      <c r="S179" s="482"/>
      <c r="T179" s="482"/>
      <c r="U179" s="482"/>
      <c r="V179" s="482"/>
      <c r="W179" s="482"/>
      <c r="X179" s="482"/>
      <c r="Y179" s="482"/>
      <c r="Z179" s="482"/>
      <c r="AA179" s="482"/>
      <c r="AB179" s="482"/>
      <c r="AC179" s="482"/>
      <c r="AD179" s="482"/>
      <c r="AE179" s="482"/>
      <c r="AF179" s="482"/>
      <c r="AG179" s="482"/>
      <c r="AH179" s="482"/>
      <c r="AI179" s="482"/>
      <c r="AJ179" s="482"/>
      <c r="AK179" s="482"/>
      <c r="AL179" s="482"/>
      <c r="AM179" s="482"/>
      <c r="AN179" s="482"/>
    </row>
    <row r="180" spans="1:40" s="24" customFormat="1">
      <c r="A180" s="30"/>
      <c r="B180" s="30"/>
      <c r="C180" s="30"/>
      <c r="D180" s="30"/>
      <c r="E180" s="30"/>
      <c r="F180" s="30"/>
      <c r="G180" s="30"/>
      <c r="H180" s="30"/>
      <c r="I180" s="30"/>
      <c r="J180" s="30"/>
      <c r="K180" s="30"/>
      <c r="L180" s="30"/>
      <c r="M180" s="30"/>
      <c r="N180" s="482"/>
      <c r="O180" s="482"/>
      <c r="P180" s="482"/>
      <c r="Q180" s="482"/>
      <c r="R180" s="482"/>
      <c r="S180" s="482"/>
      <c r="T180" s="482"/>
      <c r="U180" s="482"/>
      <c r="V180" s="482"/>
      <c r="W180" s="482"/>
      <c r="X180" s="482"/>
      <c r="Y180" s="482"/>
      <c r="Z180" s="482"/>
      <c r="AA180" s="482"/>
      <c r="AB180" s="482"/>
      <c r="AC180" s="482"/>
      <c r="AD180" s="482"/>
      <c r="AE180" s="482"/>
      <c r="AF180" s="482"/>
      <c r="AG180" s="482"/>
      <c r="AH180" s="482"/>
      <c r="AI180" s="482"/>
      <c r="AJ180" s="482"/>
      <c r="AK180" s="482"/>
      <c r="AL180" s="482"/>
      <c r="AM180" s="482"/>
      <c r="AN180" s="482"/>
    </row>
    <row r="181" spans="1:40" s="24" customFormat="1" ht="88.5" customHeight="1">
      <c r="A181" s="30"/>
      <c r="B181" s="30"/>
      <c r="C181" s="30"/>
      <c r="D181" s="30"/>
      <c r="E181" s="30"/>
      <c r="F181" s="30"/>
      <c r="G181" s="30"/>
      <c r="H181" s="30"/>
      <c r="I181" s="30"/>
      <c r="J181" s="30"/>
      <c r="K181" s="30"/>
      <c r="L181" s="30"/>
      <c r="M181" s="30"/>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82"/>
    </row>
    <row r="182" spans="1:40" s="24" customFormat="1">
      <c r="A182" s="30"/>
      <c r="B182" s="30"/>
      <c r="C182" s="30"/>
      <c r="D182" s="30"/>
      <c r="E182" s="30"/>
      <c r="F182" s="30"/>
      <c r="G182" s="30"/>
      <c r="H182" s="30"/>
      <c r="I182" s="30"/>
      <c r="J182" s="30"/>
      <c r="K182" s="30"/>
      <c r="L182" s="30"/>
      <c r="M182" s="30"/>
      <c r="N182" s="482"/>
      <c r="O182" s="482"/>
      <c r="P182" s="482"/>
      <c r="Q182" s="482"/>
      <c r="R182" s="482"/>
      <c r="S182" s="482"/>
      <c r="T182" s="482"/>
      <c r="U182" s="482"/>
      <c r="V182" s="482"/>
      <c r="W182" s="482"/>
      <c r="X182" s="482"/>
      <c r="Y182" s="482"/>
      <c r="Z182" s="482"/>
      <c r="AA182" s="482"/>
      <c r="AB182" s="482"/>
      <c r="AC182" s="482"/>
      <c r="AD182" s="482"/>
      <c r="AE182" s="482"/>
      <c r="AF182" s="482"/>
      <c r="AG182" s="482"/>
      <c r="AH182" s="482"/>
      <c r="AI182" s="482"/>
      <c r="AJ182" s="482"/>
      <c r="AK182" s="482"/>
      <c r="AL182" s="482"/>
      <c r="AM182" s="482"/>
      <c r="AN182" s="482"/>
    </row>
    <row r="183" spans="1:40" s="24" customFormat="1">
      <c r="A183" s="30"/>
      <c r="B183" s="30"/>
      <c r="C183" s="30"/>
      <c r="D183" s="30"/>
      <c r="E183" s="30"/>
      <c r="F183" s="30"/>
      <c r="G183" s="30"/>
      <c r="H183" s="30"/>
      <c r="I183" s="30"/>
      <c r="J183" s="30"/>
      <c r="K183" s="30"/>
      <c r="L183" s="30"/>
      <c r="M183" s="30"/>
      <c r="N183" s="482"/>
      <c r="O183" s="482"/>
      <c r="P183" s="482"/>
      <c r="Q183" s="482"/>
      <c r="R183" s="482"/>
      <c r="S183" s="482"/>
      <c r="T183" s="482"/>
      <c r="U183" s="482"/>
      <c r="V183" s="482"/>
      <c r="W183" s="482"/>
      <c r="X183" s="482"/>
      <c r="Y183" s="482"/>
      <c r="Z183" s="482"/>
      <c r="AA183" s="482"/>
      <c r="AB183" s="482"/>
      <c r="AC183" s="482"/>
      <c r="AD183" s="482"/>
      <c r="AE183" s="482"/>
      <c r="AF183" s="482"/>
      <c r="AG183" s="482"/>
      <c r="AH183" s="482"/>
      <c r="AI183" s="482"/>
      <c r="AJ183" s="482"/>
      <c r="AK183" s="482"/>
      <c r="AL183" s="482"/>
      <c r="AM183" s="482"/>
      <c r="AN183" s="482"/>
    </row>
    <row r="184" spans="1:40" s="24" customFormat="1">
      <c r="A184" s="30"/>
      <c r="B184" s="30"/>
      <c r="C184" s="30"/>
      <c r="D184" s="30"/>
      <c r="E184" s="30"/>
      <c r="F184" s="30"/>
      <c r="G184" s="30"/>
      <c r="H184" s="30"/>
      <c r="I184" s="30"/>
      <c r="J184" s="30"/>
      <c r="K184" s="30"/>
      <c r="L184" s="30"/>
      <c r="M184" s="30"/>
      <c r="N184" s="482"/>
      <c r="O184" s="482"/>
      <c r="P184" s="482"/>
      <c r="Q184" s="482"/>
      <c r="R184" s="482"/>
      <c r="S184" s="482"/>
      <c r="T184" s="482"/>
      <c r="U184" s="482"/>
      <c r="V184" s="482"/>
      <c r="W184" s="482"/>
      <c r="X184" s="482"/>
      <c r="Y184" s="482"/>
      <c r="Z184" s="482"/>
      <c r="AA184" s="482"/>
      <c r="AB184" s="482"/>
      <c r="AC184" s="482"/>
      <c r="AD184" s="482"/>
      <c r="AE184" s="482"/>
      <c r="AF184" s="482"/>
      <c r="AG184" s="482"/>
      <c r="AH184" s="482"/>
      <c r="AI184" s="482"/>
      <c r="AJ184" s="482"/>
      <c r="AK184" s="482"/>
      <c r="AL184" s="482"/>
      <c r="AM184" s="482"/>
      <c r="AN184" s="482"/>
    </row>
    <row r="185" spans="1:40" s="24" customFormat="1">
      <c r="A185" s="30"/>
      <c r="B185" s="30"/>
      <c r="C185" s="30"/>
      <c r="D185" s="30"/>
      <c r="E185" s="30"/>
      <c r="F185" s="30"/>
      <c r="G185" s="30"/>
      <c r="H185" s="30"/>
      <c r="I185" s="30"/>
      <c r="J185" s="30"/>
      <c r="K185" s="30"/>
      <c r="L185" s="30"/>
      <c r="M185" s="30"/>
      <c r="N185" s="482"/>
      <c r="O185" s="482"/>
      <c r="P185" s="482"/>
      <c r="Q185" s="482"/>
      <c r="R185" s="482"/>
      <c r="S185" s="482"/>
      <c r="T185" s="482"/>
      <c r="U185" s="482"/>
      <c r="V185" s="482"/>
      <c r="W185" s="482"/>
      <c r="X185" s="482"/>
      <c r="Y185" s="482"/>
      <c r="Z185" s="482"/>
      <c r="AA185" s="482"/>
      <c r="AB185" s="482"/>
      <c r="AC185" s="482"/>
      <c r="AD185" s="482"/>
      <c r="AE185" s="482"/>
      <c r="AF185" s="482"/>
      <c r="AG185" s="482"/>
      <c r="AH185" s="482"/>
      <c r="AI185" s="482"/>
      <c r="AJ185" s="482"/>
      <c r="AK185" s="482"/>
      <c r="AL185" s="482"/>
      <c r="AM185" s="482"/>
      <c r="AN185" s="482"/>
    </row>
    <row r="186" spans="1:40" s="24" customFormat="1">
      <c r="A186" s="30"/>
      <c r="B186" s="30"/>
      <c r="C186" s="30"/>
      <c r="D186" s="30"/>
      <c r="E186" s="30"/>
      <c r="F186" s="30"/>
      <c r="G186" s="30"/>
      <c r="H186" s="30"/>
      <c r="I186" s="30"/>
      <c r="J186" s="30"/>
      <c r="K186" s="30"/>
      <c r="L186" s="30"/>
      <c r="M186" s="30"/>
      <c r="N186" s="482"/>
      <c r="O186" s="482"/>
      <c r="P186" s="482"/>
      <c r="Q186" s="482"/>
      <c r="R186" s="482"/>
      <c r="S186" s="482"/>
      <c r="T186" s="482"/>
      <c r="U186" s="482"/>
      <c r="V186" s="482"/>
      <c r="W186" s="482"/>
      <c r="X186" s="482"/>
      <c r="Y186" s="482"/>
      <c r="Z186" s="482"/>
      <c r="AA186" s="482"/>
      <c r="AB186" s="482"/>
      <c r="AC186" s="482"/>
      <c r="AD186" s="482"/>
      <c r="AE186" s="482"/>
      <c r="AF186" s="482"/>
      <c r="AG186" s="482"/>
      <c r="AH186" s="482"/>
      <c r="AI186" s="482"/>
      <c r="AJ186" s="482"/>
      <c r="AK186" s="482"/>
      <c r="AL186" s="482"/>
      <c r="AM186" s="482"/>
      <c r="AN186" s="482"/>
    </row>
    <row r="187" spans="1:40" s="24" customFormat="1">
      <c r="A187" s="30"/>
      <c r="B187" s="30"/>
      <c r="C187" s="30"/>
      <c r="D187" s="30"/>
      <c r="E187" s="30"/>
      <c r="F187" s="30"/>
      <c r="G187" s="30"/>
      <c r="H187" s="30"/>
      <c r="I187" s="30"/>
      <c r="J187" s="30"/>
      <c r="K187" s="30"/>
      <c r="L187" s="30"/>
      <c r="M187" s="30"/>
      <c r="N187" s="482"/>
      <c r="O187" s="482"/>
      <c r="P187" s="482"/>
      <c r="Q187" s="482"/>
      <c r="R187" s="482"/>
      <c r="S187" s="482"/>
      <c r="T187" s="482"/>
      <c r="U187" s="482"/>
      <c r="V187" s="482"/>
      <c r="W187" s="482"/>
      <c r="X187" s="482"/>
      <c r="Y187" s="482"/>
      <c r="Z187" s="482"/>
      <c r="AA187" s="482"/>
      <c r="AB187" s="482"/>
      <c r="AC187" s="482"/>
      <c r="AD187" s="482"/>
      <c r="AE187" s="482"/>
      <c r="AF187" s="482"/>
      <c r="AG187" s="482"/>
      <c r="AH187" s="482"/>
      <c r="AI187" s="482"/>
      <c r="AJ187" s="482"/>
      <c r="AK187" s="482"/>
      <c r="AL187" s="482"/>
      <c r="AM187" s="482"/>
      <c r="AN187" s="482"/>
    </row>
    <row r="188" spans="1:40" s="24" customFormat="1">
      <c r="A188" s="30"/>
      <c r="B188" s="30"/>
      <c r="C188" s="30"/>
      <c r="D188" s="30"/>
      <c r="E188" s="30"/>
      <c r="F188" s="30"/>
      <c r="G188" s="30"/>
      <c r="H188" s="30"/>
      <c r="I188" s="30"/>
      <c r="J188" s="30"/>
      <c r="K188" s="30"/>
      <c r="L188" s="30"/>
      <c r="M188" s="30"/>
      <c r="N188" s="482"/>
      <c r="O188" s="482"/>
      <c r="P188" s="482"/>
      <c r="Q188" s="482"/>
      <c r="R188" s="482"/>
      <c r="S188" s="482"/>
      <c r="T188" s="482"/>
      <c r="U188" s="482"/>
      <c r="V188" s="482"/>
      <c r="W188" s="482"/>
      <c r="X188" s="482"/>
      <c r="Y188" s="482"/>
      <c r="Z188" s="482"/>
      <c r="AA188" s="482"/>
      <c r="AB188" s="482"/>
      <c r="AC188" s="482"/>
      <c r="AD188" s="482"/>
      <c r="AE188" s="482"/>
      <c r="AF188" s="482"/>
      <c r="AG188" s="482"/>
      <c r="AH188" s="482"/>
      <c r="AI188" s="482"/>
      <c r="AJ188" s="482"/>
      <c r="AK188" s="482"/>
      <c r="AL188" s="482"/>
      <c r="AM188" s="482"/>
      <c r="AN188" s="482"/>
    </row>
    <row r="189" spans="1:40" s="24" customFormat="1">
      <c r="A189" s="30"/>
      <c r="B189" s="30"/>
      <c r="C189" s="30"/>
      <c r="D189" s="30"/>
      <c r="E189" s="30"/>
      <c r="F189" s="30"/>
      <c r="G189" s="30"/>
      <c r="H189" s="30"/>
      <c r="I189" s="30"/>
      <c r="J189" s="30"/>
      <c r="K189" s="30"/>
      <c r="L189" s="30"/>
      <c r="M189" s="30"/>
      <c r="N189" s="482"/>
      <c r="O189" s="482"/>
      <c r="P189" s="482"/>
      <c r="Q189" s="482"/>
      <c r="R189" s="482"/>
      <c r="S189" s="482"/>
      <c r="T189" s="482"/>
      <c r="U189" s="482"/>
      <c r="V189" s="482"/>
      <c r="W189" s="482"/>
      <c r="X189" s="482"/>
      <c r="Y189" s="482"/>
      <c r="Z189" s="482"/>
      <c r="AA189" s="482"/>
      <c r="AB189" s="482"/>
      <c r="AC189" s="482"/>
      <c r="AD189" s="482"/>
      <c r="AE189" s="482"/>
      <c r="AF189" s="482"/>
      <c r="AG189" s="482"/>
      <c r="AH189" s="482"/>
      <c r="AI189" s="482"/>
      <c r="AJ189" s="482"/>
      <c r="AK189" s="482"/>
      <c r="AL189" s="482"/>
      <c r="AM189" s="482"/>
      <c r="AN189" s="482"/>
    </row>
    <row r="190" spans="1:40" s="24" customFormat="1">
      <c r="A190" s="30"/>
      <c r="B190" s="30"/>
      <c r="C190" s="30"/>
      <c r="D190" s="30"/>
      <c r="E190" s="30"/>
      <c r="F190" s="30"/>
      <c r="G190" s="30"/>
      <c r="H190" s="30"/>
      <c r="I190" s="30"/>
      <c r="J190" s="30"/>
      <c r="K190" s="30"/>
      <c r="L190" s="30"/>
      <c r="M190" s="30"/>
      <c r="N190" s="482"/>
      <c r="O190" s="482"/>
      <c r="P190" s="482"/>
      <c r="Q190" s="482"/>
      <c r="R190" s="482"/>
      <c r="S190" s="482"/>
      <c r="T190" s="482"/>
      <c r="U190" s="482"/>
      <c r="V190" s="482"/>
      <c r="W190" s="482"/>
      <c r="X190" s="482"/>
      <c r="Y190" s="482"/>
      <c r="Z190" s="482"/>
      <c r="AA190" s="482"/>
      <c r="AB190" s="482"/>
      <c r="AC190" s="482"/>
      <c r="AD190" s="482"/>
      <c r="AE190" s="482"/>
      <c r="AF190" s="482"/>
      <c r="AG190" s="482"/>
      <c r="AH190" s="482"/>
      <c r="AI190" s="482"/>
      <c r="AJ190" s="482"/>
      <c r="AK190" s="482"/>
      <c r="AL190" s="482"/>
      <c r="AM190" s="482"/>
      <c r="AN190" s="482"/>
    </row>
    <row r="191" spans="1:40" s="24" customFormat="1">
      <c r="A191" s="30"/>
      <c r="B191" s="30"/>
      <c r="C191" s="30"/>
      <c r="D191" s="30"/>
      <c r="E191" s="30"/>
      <c r="F191" s="30"/>
      <c r="G191" s="30"/>
      <c r="H191" s="30"/>
      <c r="I191" s="30"/>
      <c r="J191" s="30"/>
      <c r="K191" s="30"/>
      <c r="L191" s="30"/>
      <c r="M191" s="30"/>
      <c r="N191" s="482"/>
      <c r="O191" s="482"/>
      <c r="P191" s="482"/>
      <c r="Q191" s="482"/>
      <c r="R191" s="482"/>
      <c r="S191" s="482"/>
      <c r="T191" s="482"/>
      <c r="U191" s="482"/>
      <c r="V191" s="482"/>
      <c r="W191" s="482"/>
      <c r="X191" s="482"/>
      <c r="Y191" s="482"/>
      <c r="Z191" s="482"/>
      <c r="AA191" s="482"/>
      <c r="AB191" s="482"/>
      <c r="AC191" s="482"/>
      <c r="AD191" s="482"/>
      <c r="AE191" s="482"/>
      <c r="AF191" s="482"/>
      <c r="AG191" s="482"/>
      <c r="AH191" s="482"/>
      <c r="AI191" s="482"/>
      <c r="AJ191" s="482"/>
      <c r="AK191" s="482"/>
      <c r="AL191" s="482"/>
      <c r="AM191" s="482"/>
      <c r="AN191" s="482"/>
    </row>
    <row r="192" spans="1:40" s="24" customFormat="1">
      <c r="A192" s="30"/>
      <c r="B192" s="30"/>
      <c r="C192" s="30"/>
      <c r="D192" s="30"/>
      <c r="E192" s="30"/>
      <c r="F192" s="30"/>
      <c r="G192" s="30"/>
      <c r="H192" s="30"/>
      <c r="I192" s="30"/>
      <c r="J192" s="30"/>
      <c r="K192" s="30"/>
      <c r="L192" s="30"/>
      <c r="M192" s="30"/>
      <c r="N192" s="482"/>
      <c r="O192" s="482"/>
      <c r="P192" s="482"/>
      <c r="Q192" s="482"/>
      <c r="R192" s="482"/>
      <c r="S192" s="482"/>
      <c r="T192" s="482"/>
      <c r="U192" s="482"/>
      <c r="V192" s="482"/>
      <c r="W192" s="482"/>
      <c r="X192" s="482"/>
      <c r="Y192" s="482"/>
      <c r="Z192" s="482"/>
      <c r="AA192" s="482"/>
      <c r="AB192" s="482"/>
      <c r="AC192" s="482"/>
      <c r="AD192" s="482"/>
      <c r="AE192" s="482"/>
      <c r="AF192" s="482"/>
      <c r="AG192" s="482"/>
      <c r="AH192" s="482"/>
      <c r="AI192" s="482"/>
      <c r="AJ192" s="482"/>
      <c r="AK192" s="482"/>
      <c r="AL192" s="482"/>
      <c r="AM192" s="482"/>
      <c r="AN192" s="482"/>
    </row>
    <row r="193" spans="1:40" s="24" customFormat="1">
      <c r="A193" s="30"/>
      <c r="B193" s="30"/>
      <c r="C193" s="30"/>
      <c r="D193" s="30"/>
      <c r="E193" s="30"/>
      <c r="F193" s="30"/>
      <c r="G193" s="30"/>
      <c r="H193" s="30"/>
      <c r="I193" s="30"/>
      <c r="J193" s="30"/>
      <c r="K193" s="30"/>
      <c r="L193" s="30"/>
      <c r="M193" s="30"/>
      <c r="N193" s="482"/>
      <c r="O193" s="482"/>
      <c r="P193" s="482"/>
      <c r="Q193" s="482"/>
      <c r="R193" s="482"/>
      <c r="S193" s="482"/>
      <c r="T193" s="482"/>
      <c r="U193" s="482"/>
      <c r="V193" s="482"/>
      <c r="W193" s="482"/>
      <c r="X193" s="482"/>
      <c r="Y193" s="482"/>
      <c r="Z193" s="482"/>
      <c r="AA193" s="482"/>
      <c r="AB193" s="482"/>
      <c r="AC193" s="482"/>
      <c r="AD193" s="482"/>
      <c r="AE193" s="482"/>
      <c r="AF193" s="482"/>
      <c r="AG193" s="482"/>
      <c r="AH193" s="482"/>
      <c r="AI193" s="482"/>
      <c r="AJ193" s="482"/>
      <c r="AK193" s="482"/>
      <c r="AL193" s="482"/>
      <c r="AM193" s="482"/>
      <c r="AN193" s="482"/>
    </row>
    <row r="194" spans="1:40" s="24" customFormat="1">
      <c r="A194" s="30"/>
      <c r="B194" s="30"/>
      <c r="C194" s="30"/>
      <c r="D194" s="30"/>
      <c r="E194" s="30"/>
      <c r="F194" s="30"/>
      <c r="G194" s="30"/>
      <c r="H194" s="30"/>
      <c r="I194" s="30"/>
      <c r="J194" s="30"/>
      <c r="K194" s="30"/>
      <c r="L194" s="30"/>
      <c r="M194" s="30"/>
      <c r="N194" s="482"/>
      <c r="O194" s="482"/>
      <c r="P194" s="482"/>
      <c r="Q194" s="482"/>
      <c r="R194" s="482"/>
      <c r="S194" s="482"/>
      <c r="T194" s="482"/>
      <c r="U194" s="482"/>
      <c r="V194" s="482"/>
      <c r="W194" s="482"/>
      <c r="X194" s="482"/>
      <c r="Y194" s="482"/>
      <c r="Z194" s="482"/>
      <c r="AA194" s="482"/>
      <c r="AB194" s="482"/>
      <c r="AC194" s="482"/>
      <c r="AD194" s="482"/>
      <c r="AE194" s="482"/>
      <c r="AF194" s="482"/>
      <c r="AG194" s="482"/>
      <c r="AH194" s="482"/>
      <c r="AI194" s="482"/>
      <c r="AJ194" s="482"/>
      <c r="AK194" s="482"/>
      <c r="AL194" s="482"/>
      <c r="AM194" s="482"/>
      <c r="AN194" s="482"/>
    </row>
    <row r="195" spans="1:40" s="24" customFormat="1">
      <c r="A195" s="30"/>
      <c r="B195" s="30"/>
      <c r="C195" s="30"/>
      <c r="D195" s="30"/>
      <c r="E195" s="30"/>
      <c r="F195" s="30"/>
      <c r="G195" s="30"/>
      <c r="H195" s="30"/>
      <c r="I195" s="30"/>
      <c r="J195" s="30"/>
      <c r="K195" s="30"/>
      <c r="L195" s="30"/>
      <c r="M195" s="30"/>
      <c r="N195" s="482"/>
      <c r="O195" s="482"/>
      <c r="P195" s="482"/>
      <c r="Q195" s="482"/>
      <c r="R195" s="482"/>
      <c r="S195" s="482"/>
      <c r="T195" s="482"/>
      <c r="U195" s="482"/>
      <c r="V195" s="482"/>
      <c r="W195" s="482"/>
      <c r="X195" s="482"/>
      <c r="Y195" s="482"/>
      <c r="Z195" s="482"/>
      <c r="AA195" s="482"/>
      <c r="AB195" s="482"/>
      <c r="AC195" s="482"/>
      <c r="AD195" s="482"/>
      <c r="AE195" s="482"/>
      <c r="AF195" s="482"/>
      <c r="AG195" s="482"/>
      <c r="AH195" s="482"/>
      <c r="AI195" s="482"/>
      <c r="AJ195" s="482"/>
      <c r="AK195" s="482"/>
      <c r="AL195" s="482"/>
      <c r="AM195" s="482"/>
      <c r="AN195" s="482"/>
    </row>
    <row r="196" spans="1:40" s="24" customFormat="1">
      <c r="A196" s="30"/>
      <c r="B196" s="30"/>
      <c r="C196" s="30"/>
      <c r="D196" s="30"/>
      <c r="E196" s="30"/>
      <c r="F196" s="30"/>
      <c r="G196" s="30"/>
      <c r="H196" s="30"/>
      <c r="I196" s="30"/>
      <c r="J196" s="30"/>
      <c r="K196" s="30"/>
      <c r="L196" s="30"/>
      <c r="M196" s="30"/>
      <c r="N196" s="482"/>
      <c r="O196" s="482"/>
      <c r="P196" s="482"/>
      <c r="Q196" s="482"/>
      <c r="R196" s="482"/>
      <c r="S196" s="482"/>
      <c r="T196" s="482"/>
      <c r="U196" s="482"/>
      <c r="V196" s="482"/>
      <c r="W196" s="482"/>
      <c r="X196" s="482"/>
      <c r="Y196" s="482"/>
      <c r="Z196" s="482"/>
      <c r="AA196" s="482"/>
      <c r="AB196" s="482"/>
      <c r="AC196" s="482"/>
      <c r="AD196" s="482"/>
      <c r="AE196" s="482"/>
      <c r="AF196" s="482"/>
      <c r="AG196" s="482"/>
      <c r="AH196" s="482"/>
      <c r="AI196" s="482"/>
      <c r="AJ196" s="482"/>
      <c r="AK196" s="482"/>
      <c r="AL196" s="482"/>
      <c r="AM196" s="482"/>
      <c r="AN196" s="482"/>
    </row>
    <row r="197" spans="1:40" s="24" customFormat="1">
      <c r="A197" s="30"/>
      <c r="B197" s="30"/>
      <c r="C197" s="30"/>
      <c r="D197" s="30"/>
      <c r="E197" s="30"/>
      <c r="F197" s="30"/>
      <c r="G197" s="30"/>
      <c r="H197" s="30"/>
      <c r="I197" s="30"/>
      <c r="J197" s="30"/>
      <c r="K197" s="30"/>
      <c r="L197" s="30"/>
      <c r="M197" s="30"/>
      <c r="N197" s="482"/>
      <c r="O197" s="482"/>
      <c r="P197" s="482"/>
      <c r="Q197" s="482"/>
      <c r="R197" s="482"/>
      <c r="S197" s="482"/>
      <c r="T197" s="482"/>
      <c r="U197" s="482"/>
      <c r="V197" s="482"/>
      <c r="W197" s="482"/>
      <c r="X197" s="482"/>
      <c r="Y197" s="482"/>
      <c r="Z197" s="482"/>
      <c r="AA197" s="482"/>
      <c r="AB197" s="482"/>
      <c r="AC197" s="482"/>
      <c r="AD197" s="482"/>
      <c r="AE197" s="482"/>
      <c r="AF197" s="482"/>
      <c r="AG197" s="482"/>
      <c r="AH197" s="482"/>
      <c r="AI197" s="482"/>
      <c r="AJ197" s="482"/>
      <c r="AK197" s="482"/>
      <c r="AL197" s="482"/>
      <c r="AM197" s="482"/>
      <c r="AN197" s="482"/>
    </row>
    <row r="198" spans="1:40" s="24" customFormat="1">
      <c r="A198" s="30"/>
      <c r="B198" s="30"/>
      <c r="C198" s="30"/>
      <c r="D198" s="30"/>
      <c r="E198" s="30"/>
      <c r="F198" s="30"/>
      <c r="G198" s="30"/>
      <c r="H198" s="30"/>
      <c r="I198" s="30"/>
      <c r="J198" s="30"/>
      <c r="K198" s="30"/>
      <c r="L198" s="30"/>
      <c r="M198" s="30"/>
      <c r="N198" s="482"/>
      <c r="O198" s="482"/>
      <c r="P198" s="482"/>
      <c r="Q198" s="482"/>
      <c r="R198" s="482"/>
      <c r="S198" s="482"/>
      <c r="T198" s="482"/>
      <c r="U198" s="482"/>
      <c r="V198" s="482"/>
      <c r="W198" s="482"/>
      <c r="X198" s="482"/>
      <c r="Y198" s="482"/>
      <c r="Z198" s="482"/>
      <c r="AA198" s="482"/>
      <c r="AB198" s="482"/>
      <c r="AC198" s="482"/>
      <c r="AD198" s="482"/>
      <c r="AE198" s="482"/>
      <c r="AF198" s="482"/>
      <c r="AG198" s="482"/>
      <c r="AH198" s="482"/>
      <c r="AI198" s="482"/>
      <c r="AJ198" s="482"/>
      <c r="AK198" s="482"/>
      <c r="AL198" s="482"/>
      <c r="AM198" s="482"/>
      <c r="AN198" s="482"/>
    </row>
    <row r="199" spans="1:40" s="24" customFormat="1">
      <c r="A199" s="30"/>
      <c r="B199" s="30"/>
      <c r="C199" s="30"/>
      <c r="D199" s="30"/>
      <c r="E199" s="30"/>
      <c r="F199" s="30"/>
      <c r="G199" s="30"/>
      <c r="H199" s="30"/>
      <c r="I199" s="30"/>
      <c r="J199" s="30"/>
      <c r="K199" s="30"/>
      <c r="L199" s="30"/>
      <c r="M199" s="30"/>
      <c r="N199" s="482"/>
      <c r="O199" s="482"/>
      <c r="P199" s="482"/>
      <c r="Q199" s="482"/>
      <c r="R199" s="482"/>
      <c r="S199" s="482"/>
      <c r="T199" s="482"/>
      <c r="U199" s="482"/>
      <c r="V199" s="482"/>
      <c r="W199" s="482"/>
      <c r="X199" s="482"/>
      <c r="Y199" s="482"/>
      <c r="Z199" s="482"/>
      <c r="AA199" s="482"/>
      <c r="AB199" s="482"/>
      <c r="AC199" s="482"/>
      <c r="AD199" s="482"/>
      <c r="AE199" s="482"/>
      <c r="AF199" s="482"/>
      <c r="AG199" s="482"/>
      <c r="AH199" s="482"/>
      <c r="AI199" s="482"/>
      <c r="AJ199" s="482"/>
      <c r="AK199" s="482"/>
      <c r="AL199" s="482"/>
      <c r="AM199" s="482"/>
      <c r="AN199" s="482"/>
    </row>
    <row r="200" spans="1:40" s="24" customFormat="1">
      <c r="A200" s="30"/>
      <c r="B200" s="30"/>
      <c r="C200" s="30"/>
      <c r="D200" s="30"/>
      <c r="E200" s="30"/>
      <c r="F200" s="30"/>
      <c r="G200" s="30"/>
      <c r="H200" s="30"/>
      <c r="I200" s="30"/>
      <c r="J200" s="30"/>
      <c r="K200" s="30"/>
      <c r="L200" s="30"/>
      <c r="M200" s="30"/>
      <c r="N200" s="482"/>
      <c r="O200" s="482"/>
      <c r="P200" s="482"/>
      <c r="Q200" s="482"/>
      <c r="R200" s="482"/>
      <c r="S200" s="482"/>
      <c r="T200" s="482"/>
      <c r="U200" s="482"/>
      <c r="V200" s="482"/>
      <c r="W200" s="482"/>
      <c r="X200" s="482"/>
      <c r="Y200" s="482"/>
      <c r="Z200" s="482"/>
      <c r="AA200" s="482"/>
      <c r="AB200" s="482"/>
      <c r="AC200" s="482"/>
      <c r="AD200" s="482"/>
      <c r="AE200" s="482"/>
      <c r="AF200" s="482"/>
      <c r="AG200" s="482"/>
      <c r="AH200" s="482"/>
      <c r="AI200" s="482"/>
      <c r="AJ200" s="482"/>
      <c r="AK200" s="482"/>
      <c r="AL200" s="482"/>
      <c r="AM200" s="482"/>
      <c r="AN200" s="482"/>
    </row>
    <row r="201" spans="1:40" s="24" customFormat="1">
      <c r="A201" s="30"/>
      <c r="B201" s="30"/>
      <c r="C201" s="30"/>
      <c r="D201" s="30"/>
      <c r="E201" s="30"/>
      <c r="F201" s="30"/>
      <c r="G201" s="30"/>
      <c r="H201" s="30"/>
      <c r="I201" s="30"/>
      <c r="J201" s="30"/>
      <c r="K201" s="30"/>
      <c r="L201" s="30"/>
      <c r="M201" s="30"/>
      <c r="N201" s="482"/>
      <c r="O201" s="482"/>
      <c r="P201" s="482"/>
      <c r="Q201" s="482"/>
      <c r="R201" s="482"/>
      <c r="S201" s="482"/>
      <c r="T201" s="482"/>
      <c r="U201" s="482"/>
      <c r="V201" s="482"/>
      <c r="W201" s="482"/>
      <c r="X201" s="482"/>
      <c r="Y201" s="482"/>
      <c r="Z201" s="482"/>
      <c r="AA201" s="482"/>
      <c r="AB201" s="482"/>
      <c r="AC201" s="482"/>
      <c r="AD201" s="482"/>
      <c r="AE201" s="482"/>
      <c r="AF201" s="482"/>
      <c r="AG201" s="482"/>
      <c r="AH201" s="482"/>
      <c r="AI201" s="482"/>
      <c r="AJ201" s="482"/>
      <c r="AK201" s="482"/>
      <c r="AL201" s="482"/>
      <c r="AM201" s="482"/>
      <c r="AN201" s="482"/>
    </row>
    <row r="202" spans="1:40" s="24" customFormat="1">
      <c r="A202" s="30"/>
      <c r="B202" s="30"/>
      <c r="C202" s="30"/>
      <c r="D202" s="30"/>
      <c r="E202" s="30"/>
      <c r="F202" s="30"/>
      <c r="G202" s="30"/>
      <c r="H202" s="30"/>
      <c r="I202" s="30"/>
      <c r="J202" s="30"/>
      <c r="K202" s="30"/>
      <c r="L202" s="30"/>
      <c r="M202" s="30"/>
      <c r="N202" s="482"/>
      <c r="O202" s="482"/>
      <c r="P202" s="482"/>
      <c r="Q202" s="482"/>
      <c r="R202" s="482"/>
      <c r="S202" s="482"/>
      <c r="T202" s="482"/>
      <c r="U202" s="482"/>
      <c r="V202" s="482"/>
      <c r="W202" s="482"/>
      <c r="X202" s="482"/>
      <c r="Y202" s="482"/>
      <c r="Z202" s="482"/>
      <c r="AA202" s="482"/>
      <c r="AB202" s="482"/>
      <c r="AC202" s="482"/>
      <c r="AD202" s="482"/>
      <c r="AE202" s="482"/>
      <c r="AF202" s="482"/>
      <c r="AG202" s="482"/>
      <c r="AH202" s="482"/>
      <c r="AI202" s="482"/>
      <c r="AJ202" s="482"/>
      <c r="AK202" s="482"/>
      <c r="AL202" s="482"/>
      <c r="AM202" s="482"/>
      <c r="AN202" s="482"/>
    </row>
    <row r="203" spans="1:40" s="24" customFormat="1">
      <c r="A203" s="30"/>
      <c r="B203" s="30"/>
      <c r="C203" s="30"/>
      <c r="D203" s="30"/>
      <c r="E203" s="30"/>
      <c r="F203" s="30"/>
      <c r="G203" s="30"/>
      <c r="H203" s="30"/>
      <c r="I203" s="30"/>
      <c r="J203" s="30"/>
      <c r="K203" s="30"/>
      <c r="L203" s="30"/>
      <c r="M203" s="30"/>
      <c r="N203" s="482"/>
      <c r="O203" s="482"/>
      <c r="P203" s="482"/>
      <c r="Q203" s="482"/>
      <c r="R203" s="482"/>
      <c r="S203" s="482"/>
      <c r="T203" s="482"/>
      <c r="U203" s="482"/>
      <c r="V203" s="482"/>
      <c r="W203" s="482"/>
      <c r="X203" s="482"/>
      <c r="Y203" s="482"/>
      <c r="Z203" s="482"/>
      <c r="AA203" s="482"/>
      <c r="AB203" s="482"/>
      <c r="AC203" s="482"/>
      <c r="AD203" s="482"/>
      <c r="AE203" s="482"/>
      <c r="AF203" s="482"/>
      <c r="AG203" s="482"/>
      <c r="AH203" s="482"/>
      <c r="AI203" s="482"/>
      <c r="AJ203" s="482"/>
      <c r="AK203" s="482"/>
      <c r="AL203" s="482"/>
      <c r="AM203" s="482"/>
      <c r="AN203" s="482"/>
    </row>
    <row r="204" spans="1:40" s="24" customFormat="1">
      <c r="A204" s="30"/>
      <c r="B204" s="30"/>
      <c r="C204" s="30"/>
      <c r="D204" s="30"/>
      <c r="E204" s="30"/>
      <c r="F204" s="30"/>
      <c r="G204" s="30"/>
      <c r="H204" s="30"/>
      <c r="I204" s="30"/>
      <c r="J204" s="30"/>
      <c r="K204" s="30"/>
      <c r="L204" s="30"/>
      <c r="M204" s="30"/>
      <c r="N204" s="482"/>
      <c r="O204" s="482"/>
      <c r="P204" s="482"/>
      <c r="Q204" s="482"/>
      <c r="R204" s="482"/>
      <c r="S204" s="482"/>
      <c r="T204" s="482"/>
      <c r="U204" s="482"/>
      <c r="V204" s="482"/>
      <c r="W204" s="482"/>
      <c r="X204" s="482"/>
      <c r="Y204" s="482"/>
      <c r="Z204" s="482"/>
      <c r="AA204" s="482"/>
      <c r="AB204" s="482"/>
      <c r="AC204" s="482"/>
      <c r="AD204" s="482"/>
      <c r="AE204" s="482"/>
      <c r="AF204" s="482"/>
      <c r="AG204" s="482"/>
      <c r="AH204" s="482"/>
      <c r="AI204" s="482"/>
      <c r="AJ204" s="482"/>
      <c r="AK204" s="482"/>
      <c r="AL204" s="482"/>
      <c r="AM204" s="482"/>
      <c r="AN204" s="482"/>
    </row>
    <row r="205" spans="1:40" s="24" customFormat="1">
      <c r="A205" s="30"/>
      <c r="B205" s="30"/>
      <c r="C205" s="30"/>
      <c r="D205" s="30"/>
      <c r="E205" s="30"/>
      <c r="F205" s="30"/>
      <c r="G205" s="30"/>
      <c r="H205" s="30"/>
      <c r="I205" s="30"/>
      <c r="J205" s="30"/>
      <c r="K205" s="30"/>
      <c r="L205" s="30"/>
      <c r="M205" s="30"/>
      <c r="N205" s="482"/>
      <c r="O205" s="482"/>
      <c r="P205" s="482"/>
      <c r="Q205" s="482"/>
      <c r="R205" s="482"/>
      <c r="S205" s="482"/>
      <c r="T205" s="482"/>
      <c r="U205" s="482"/>
      <c r="V205" s="482"/>
      <c r="W205" s="482"/>
      <c r="X205" s="482"/>
      <c r="Y205" s="482"/>
      <c r="Z205" s="482"/>
      <c r="AA205" s="482"/>
      <c r="AB205" s="482"/>
      <c r="AC205" s="482"/>
      <c r="AD205" s="482"/>
      <c r="AE205" s="482"/>
      <c r="AF205" s="482"/>
      <c r="AG205" s="482"/>
      <c r="AH205" s="482"/>
      <c r="AI205" s="482"/>
      <c r="AJ205" s="482"/>
      <c r="AK205" s="482"/>
      <c r="AL205" s="482"/>
      <c r="AM205" s="482"/>
      <c r="AN205" s="482"/>
    </row>
    <row r="206" spans="1:40" s="24" customFormat="1">
      <c r="A206" s="30"/>
      <c r="B206" s="30"/>
      <c r="C206" s="30"/>
      <c r="D206" s="30"/>
      <c r="E206" s="30"/>
      <c r="F206" s="30"/>
      <c r="G206" s="30"/>
      <c r="H206" s="30"/>
      <c r="I206" s="30"/>
      <c r="J206" s="30"/>
      <c r="K206" s="30"/>
      <c r="L206" s="30"/>
      <c r="M206" s="30"/>
      <c r="N206" s="482"/>
      <c r="O206" s="482"/>
      <c r="P206" s="482"/>
      <c r="Q206" s="482"/>
      <c r="R206" s="482"/>
      <c r="S206" s="482"/>
      <c r="T206" s="482"/>
      <c r="U206" s="482"/>
      <c r="V206" s="482"/>
      <c r="W206" s="482"/>
      <c r="X206" s="482"/>
      <c r="Y206" s="482"/>
      <c r="Z206" s="482"/>
      <c r="AA206" s="482"/>
      <c r="AB206" s="482"/>
      <c r="AC206" s="482"/>
      <c r="AD206" s="482"/>
      <c r="AE206" s="482"/>
      <c r="AF206" s="482"/>
      <c r="AG206" s="482"/>
      <c r="AH206" s="482"/>
      <c r="AI206" s="482"/>
      <c r="AJ206" s="482"/>
      <c r="AK206" s="482"/>
      <c r="AL206" s="482"/>
      <c r="AM206" s="482"/>
      <c r="AN206" s="482"/>
    </row>
    <row r="207" spans="1:40" s="24" customFormat="1">
      <c r="A207" s="30"/>
      <c r="B207" s="30"/>
      <c r="C207" s="30"/>
      <c r="D207" s="30"/>
      <c r="E207" s="30"/>
      <c r="F207" s="30"/>
      <c r="G207" s="30"/>
      <c r="H207" s="30"/>
      <c r="I207" s="30"/>
      <c r="J207" s="30"/>
      <c r="K207" s="30"/>
      <c r="L207" s="30"/>
      <c r="M207" s="30"/>
      <c r="N207" s="482"/>
      <c r="O207" s="482"/>
      <c r="P207" s="482"/>
      <c r="Q207" s="482"/>
      <c r="R207" s="482"/>
      <c r="S207" s="482"/>
      <c r="T207" s="482"/>
      <c r="U207" s="482"/>
      <c r="V207" s="482"/>
      <c r="W207" s="482"/>
      <c r="X207" s="482"/>
      <c r="Y207" s="482"/>
      <c r="Z207" s="482"/>
      <c r="AA207" s="482"/>
      <c r="AB207" s="482"/>
      <c r="AC207" s="482"/>
      <c r="AD207" s="482"/>
      <c r="AE207" s="482"/>
      <c r="AF207" s="482"/>
      <c r="AG207" s="482"/>
      <c r="AH207" s="482"/>
      <c r="AI207" s="482"/>
      <c r="AJ207" s="482"/>
      <c r="AK207" s="482"/>
      <c r="AL207" s="482"/>
      <c r="AM207" s="482"/>
      <c r="AN207" s="482"/>
    </row>
    <row r="208" spans="1:40" s="24" customFormat="1">
      <c r="A208" s="30"/>
      <c r="B208" s="30"/>
      <c r="C208" s="30"/>
      <c r="D208" s="30"/>
      <c r="E208" s="30"/>
      <c r="F208" s="30"/>
      <c r="G208" s="30"/>
      <c r="H208" s="30"/>
      <c r="I208" s="30"/>
      <c r="J208" s="30"/>
      <c r="K208" s="30"/>
      <c r="L208" s="30"/>
      <c r="M208" s="30"/>
      <c r="N208" s="482"/>
      <c r="O208" s="482"/>
      <c r="P208" s="482"/>
      <c r="Q208" s="482"/>
      <c r="R208" s="482"/>
      <c r="S208" s="482"/>
      <c r="T208" s="482"/>
      <c r="U208" s="482"/>
      <c r="V208" s="482"/>
      <c r="W208" s="482"/>
      <c r="X208" s="482"/>
      <c r="Y208" s="482"/>
      <c r="Z208" s="482"/>
      <c r="AA208" s="482"/>
      <c r="AB208" s="482"/>
      <c r="AC208" s="482"/>
      <c r="AD208" s="482"/>
      <c r="AE208" s="482"/>
      <c r="AF208" s="482"/>
      <c r="AG208" s="482"/>
      <c r="AH208" s="482"/>
      <c r="AI208" s="482"/>
      <c r="AJ208" s="482"/>
      <c r="AK208" s="482"/>
      <c r="AL208" s="482"/>
      <c r="AM208" s="482"/>
      <c r="AN208" s="482"/>
    </row>
    <row r="209" spans="1:40" s="24" customFormat="1">
      <c r="A209" s="30"/>
      <c r="B209" s="30"/>
      <c r="C209" s="30"/>
      <c r="D209" s="30"/>
      <c r="E209" s="30"/>
      <c r="F209" s="30"/>
      <c r="G209" s="30"/>
      <c r="H209" s="30"/>
      <c r="I209" s="30"/>
      <c r="J209" s="30"/>
      <c r="K209" s="30"/>
      <c r="L209" s="30"/>
      <c r="M209" s="30"/>
      <c r="N209" s="482"/>
      <c r="O209" s="482"/>
      <c r="P209" s="482"/>
      <c r="Q209" s="482"/>
      <c r="R209" s="482"/>
      <c r="S209" s="482"/>
      <c r="T209" s="482"/>
      <c r="U209" s="482"/>
      <c r="V209" s="482"/>
      <c r="W209" s="482"/>
      <c r="X209" s="482"/>
      <c r="Y209" s="482"/>
      <c r="Z209" s="482"/>
      <c r="AA209" s="482"/>
      <c r="AB209" s="482"/>
      <c r="AC209" s="482"/>
      <c r="AD209" s="482"/>
      <c r="AE209" s="482"/>
      <c r="AF209" s="482"/>
      <c r="AG209" s="482"/>
      <c r="AH209" s="482"/>
      <c r="AI209" s="482"/>
      <c r="AJ209" s="482"/>
      <c r="AK209" s="482"/>
      <c r="AL209" s="482"/>
      <c r="AM209" s="482"/>
      <c r="AN209" s="482"/>
    </row>
    <row r="210" spans="1:40" s="24" customFormat="1">
      <c r="A210" s="30"/>
      <c r="B210" s="30"/>
      <c r="C210" s="30"/>
      <c r="D210" s="30"/>
      <c r="E210" s="30"/>
      <c r="F210" s="30"/>
      <c r="G210" s="30"/>
      <c r="H210" s="30"/>
      <c r="I210" s="30"/>
      <c r="J210" s="30"/>
      <c r="K210" s="30"/>
      <c r="L210" s="30"/>
      <c r="M210" s="30"/>
      <c r="N210" s="482"/>
      <c r="O210" s="482"/>
      <c r="P210" s="482"/>
      <c r="Q210" s="482"/>
      <c r="R210" s="482"/>
      <c r="S210" s="482"/>
      <c r="T210" s="482"/>
      <c r="U210" s="482"/>
      <c r="V210" s="482"/>
      <c r="W210" s="482"/>
      <c r="X210" s="482"/>
      <c r="Y210" s="482"/>
      <c r="Z210" s="482"/>
      <c r="AA210" s="482"/>
      <c r="AB210" s="482"/>
      <c r="AC210" s="482"/>
      <c r="AD210" s="482"/>
      <c r="AE210" s="482"/>
      <c r="AF210" s="482"/>
      <c r="AG210" s="482"/>
      <c r="AH210" s="482"/>
      <c r="AI210" s="482"/>
      <c r="AJ210" s="482"/>
      <c r="AK210" s="482"/>
      <c r="AL210" s="482"/>
      <c r="AM210" s="482"/>
      <c r="AN210" s="482"/>
    </row>
    <row r="211" spans="1:40" s="24" customFormat="1">
      <c r="A211" s="30"/>
      <c r="B211" s="30"/>
      <c r="C211" s="30"/>
      <c r="D211" s="30"/>
      <c r="E211" s="30"/>
      <c r="F211" s="30"/>
      <c r="G211" s="30"/>
      <c r="H211" s="30"/>
      <c r="I211" s="30"/>
      <c r="J211" s="30"/>
      <c r="K211" s="30"/>
      <c r="L211" s="30"/>
      <c r="M211" s="30"/>
      <c r="N211" s="482"/>
      <c r="O211" s="482"/>
      <c r="P211" s="482"/>
      <c r="Q211" s="482"/>
      <c r="R211" s="482"/>
      <c r="S211" s="482"/>
      <c r="T211" s="482"/>
      <c r="U211" s="482"/>
      <c r="V211" s="482"/>
      <c r="W211" s="482"/>
      <c r="X211" s="482"/>
      <c r="Y211" s="482"/>
      <c r="Z211" s="482"/>
      <c r="AA211" s="482"/>
      <c r="AB211" s="482"/>
      <c r="AC211" s="482"/>
      <c r="AD211" s="482"/>
      <c r="AE211" s="482"/>
      <c r="AF211" s="482"/>
      <c r="AG211" s="482"/>
      <c r="AH211" s="482"/>
      <c r="AI211" s="482"/>
      <c r="AJ211" s="482"/>
      <c r="AK211" s="482"/>
      <c r="AL211" s="482"/>
      <c r="AM211" s="482"/>
      <c r="AN211" s="482"/>
    </row>
    <row r="212" spans="1:40" s="24" customFormat="1">
      <c r="A212" s="30"/>
      <c r="B212" s="30"/>
      <c r="C212" s="30"/>
      <c r="D212" s="30"/>
      <c r="E212" s="30"/>
      <c r="F212" s="30"/>
      <c r="G212" s="30"/>
      <c r="H212" s="30"/>
      <c r="I212" s="30"/>
      <c r="J212" s="30"/>
      <c r="K212" s="30"/>
      <c r="L212" s="30"/>
      <c r="M212" s="30"/>
      <c r="N212" s="482"/>
      <c r="O212" s="482"/>
      <c r="P212" s="482"/>
      <c r="Q212" s="482"/>
      <c r="R212" s="482"/>
      <c r="S212" s="482"/>
      <c r="T212" s="482"/>
      <c r="U212" s="482"/>
      <c r="V212" s="482"/>
      <c r="W212" s="482"/>
      <c r="X212" s="482"/>
      <c r="Y212" s="482"/>
      <c r="Z212" s="482"/>
      <c r="AA212" s="482"/>
      <c r="AB212" s="482"/>
      <c r="AC212" s="482"/>
      <c r="AD212" s="482"/>
      <c r="AE212" s="482"/>
      <c r="AF212" s="482"/>
      <c r="AG212" s="482"/>
      <c r="AH212" s="482"/>
      <c r="AI212" s="482"/>
      <c r="AJ212" s="482"/>
      <c r="AK212" s="482"/>
      <c r="AL212" s="482"/>
      <c r="AM212" s="482"/>
      <c r="AN212" s="482"/>
    </row>
    <row r="213" spans="1:40" s="24" customFormat="1">
      <c r="A213" s="30"/>
      <c r="B213" s="30"/>
      <c r="C213" s="30"/>
      <c r="D213" s="30"/>
      <c r="E213" s="30"/>
      <c r="F213" s="30"/>
      <c r="G213" s="30"/>
      <c r="H213" s="30"/>
      <c r="I213" s="30"/>
      <c r="J213" s="30"/>
      <c r="K213" s="30"/>
      <c r="L213" s="30"/>
      <c r="M213" s="30"/>
      <c r="N213" s="482"/>
      <c r="O213" s="482"/>
      <c r="P213" s="482"/>
      <c r="Q213" s="482"/>
      <c r="R213" s="482"/>
      <c r="S213" s="482"/>
      <c r="T213" s="482"/>
      <c r="U213" s="482"/>
      <c r="V213" s="482"/>
      <c r="W213" s="482"/>
      <c r="X213" s="482"/>
      <c r="Y213" s="482"/>
      <c r="Z213" s="482"/>
      <c r="AA213" s="482"/>
      <c r="AB213" s="482"/>
      <c r="AC213" s="482"/>
      <c r="AD213" s="482"/>
      <c r="AE213" s="482"/>
      <c r="AF213" s="482"/>
      <c r="AG213" s="482"/>
      <c r="AH213" s="482"/>
      <c r="AI213" s="482"/>
      <c r="AJ213" s="482"/>
      <c r="AK213" s="482"/>
      <c r="AL213" s="482"/>
      <c r="AM213" s="482"/>
      <c r="AN213" s="482"/>
    </row>
    <row r="214" spans="1:40" s="24" customForma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row>
    <row r="215" spans="1:40" s="24" customForma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row>
    <row r="216" spans="1:40" s="24" customForma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row>
    <row r="217" spans="1:40" s="24" customForma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row>
    <row r="218" spans="1:40" s="24" customForma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row>
    <row r="219" spans="1:40" s="24" customForma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row>
    <row r="220" spans="1:40" s="24" customForma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row>
    <row r="221" spans="1:40" s="24" customForma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row>
    <row r="222" spans="1:40" s="24" customForma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row>
    <row r="223" spans="1:40" s="24" customForma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row>
    <row r="224" spans="1:40" s="24" customForma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row>
    <row r="225" spans="1:40" s="24" customForma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row>
    <row r="226" spans="1:40" s="24" customForma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row>
    <row r="227" spans="1:40" s="24" customForma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row>
    <row r="228" spans="1:40" s="24" customForma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row>
    <row r="229" spans="1:40" s="24" customForma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row>
    <row r="230" spans="1:40" s="24" customForma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row>
    <row r="231" spans="1:40" s="24" customForma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row>
    <row r="232" spans="1:40" s="24" customForma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row>
    <row r="233" spans="1:40" s="24" customForma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row>
    <row r="234" spans="1:40" s="24" customForma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row>
    <row r="235" spans="1:40" s="24" customForma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row>
    <row r="236" spans="1:40" s="24" customForma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row>
    <row r="237" spans="1:40" s="24" customForma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row>
    <row r="238" spans="1:40" s="24" customForma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row>
    <row r="239" spans="1:40" s="24" customForma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row>
    <row r="240" spans="1:40" s="24" customForma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row>
    <row r="241" spans="1:1" s="24" customFormat="1">
      <c r="A241" s="30"/>
    </row>
    <row r="242" spans="1:1" s="24" customFormat="1">
      <c r="A242" s="30"/>
    </row>
    <row r="243" spans="1:1" s="24" customFormat="1">
      <c r="A243" s="30"/>
    </row>
    <row r="244" spans="1:1" s="24" customFormat="1">
      <c r="A244" s="30"/>
    </row>
    <row r="245" spans="1:1" s="24" customFormat="1">
      <c r="A245" s="30"/>
    </row>
    <row r="246" spans="1:1" s="24" customFormat="1">
      <c r="A246" s="30"/>
    </row>
    <row r="247" spans="1:1" s="24" customFormat="1">
      <c r="A247" s="30"/>
    </row>
    <row r="248" spans="1:1" s="24" customFormat="1">
      <c r="A248" s="30"/>
    </row>
    <row r="249" spans="1:1" s="24" customFormat="1">
      <c r="A249" s="30"/>
    </row>
    <row r="250" spans="1:1" s="24" customFormat="1">
      <c r="A250" s="30"/>
    </row>
    <row r="251" spans="1:1" s="24" customFormat="1">
      <c r="A251" s="30"/>
    </row>
    <row r="252" spans="1:1" s="24" customFormat="1">
      <c r="A252" s="30"/>
    </row>
    <row r="253" spans="1:1" s="24" customFormat="1">
      <c r="A253" s="30"/>
    </row>
    <row r="254" spans="1:1" s="24" customFormat="1">
      <c r="A254" s="30"/>
    </row>
    <row r="255" spans="1:1" s="24" customFormat="1">
      <c r="A255" s="30"/>
    </row>
    <row r="256" spans="1:1" s="24" customFormat="1">
      <c r="A256" s="30"/>
    </row>
    <row r="257" spans="1:1" s="24" customFormat="1">
      <c r="A257" s="30"/>
    </row>
    <row r="258" spans="1:1" s="24" customFormat="1">
      <c r="A258" s="30"/>
    </row>
    <row r="259" spans="1:1" s="24" customFormat="1">
      <c r="A259" s="30"/>
    </row>
    <row r="260" spans="1:1" s="24" customFormat="1">
      <c r="A260" s="30"/>
    </row>
    <row r="261" spans="1:1" s="24" customFormat="1">
      <c r="A261" s="30"/>
    </row>
    <row r="262" spans="1:1" s="24" customFormat="1">
      <c r="A262" s="30"/>
    </row>
    <row r="263" spans="1:1" s="24" customFormat="1">
      <c r="A263" s="30"/>
    </row>
    <row r="264" spans="1:1" s="24" customFormat="1">
      <c r="A264" s="30"/>
    </row>
    <row r="265" spans="1:1" s="24" customFormat="1">
      <c r="A265" s="30"/>
    </row>
    <row r="266" spans="1:1" s="24" customFormat="1">
      <c r="A266" s="30"/>
    </row>
    <row r="267" spans="1:1" s="24" customFormat="1">
      <c r="A267" s="30"/>
    </row>
    <row r="268" spans="1:1" s="24" customFormat="1">
      <c r="A268" s="30"/>
    </row>
    <row r="269" spans="1:1" s="24" customFormat="1">
      <c r="A269" s="30"/>
    </row>
    <row r="270" spans="1:1" s="24" customFormat="1">
      <c r="A270" s="30"/>
    </row>
    <row r="271" spans="1:1" s="24" customFormat="1">
      <c r="A271" s="30"/>
    </row>
    <row r="272" spans="1:1" s="24" customFormat="1">
      <c r="A272" s="30"/>
    </row>
    <row r="273" spans="1:1" s="24" customFormat="1">
      <c r="A273" s="30"/>
    </row>
    <row r="274" spans="1:1" s="24" customFormat="1">
      <c r="A274" s="30"/>
    </row>
    <row r="275" spans="1:1" s="24" customFormat="1">
      <c r="A275" s="30"/>
    </row>
    <row r="276" spans="1:1" s="24" customFormat="1">
      <c r="A276" s="30"/>
    </row>
    <row r="277" spans="1:1" s="24" customFormat="1">
      <c r="A277" s="30"/>
    </row>
    <row r="278" spans="1:1" s="24" customFormat="1">
      <c r="A278" s="30"/>
    </row>
    <row r="279" spans="1:1" s="24" customFormat="1">
      <c r="A279" s="30"/>
    </row>
    <row r="280" spans="1:1" s="24" customFormat="1">
      <c r="A280" s="30"/>
    </row>
    <row r="281" spans="1:1" s="24" customFormat="1">
      <c r="A281" s="30"/>
    </row>
    <row r="282" spans="1:1" s="24" customFormat="1">
      <c r="A282" s="30"/>
    </row>
    <row r="283" spans="1:1" s="24" customFormat="1">
      <c r="A283" s="30"/>
    </row>
    <row r="284" spans="1:1" s="24" customFormat="1">
      <c r="A284" s="30"/>
    </row>
    <row r="285" spans="1:1" s="24" customFormat="1">
      <c r="A285" s="30"/>
    </row>
    <row r="286" spans="1:1" s="24" customFormat="1">
      <c r="A286" s="30"/>
    </row>
    <row r="287" spans="1:1" s="24" customFormat="1">
      <c r="A287" s="30"/>
    </row>
    <row r="288" spans="1:1" s="24" customFormat="1">
      <c r="A288" s="30"/>
    </row>
    <row r="289" spans="1:1" s="24" customFormat="1">
      <c r="A289" s="30"/>
    </row>
    <row r="290" spans="1:1" s="24" customFormat="1">
      <c r="A290" s="30"/>
    </row>
    <row r="291" spans="1:1" s="24" customFormat="1">
      <c r="A291" s="30"/>
    </row>
    <row r="292" spans="1:1" s="24" customFormat="1">
      <c r="A292" s="30"/>
    </row>
    <row r="293" spans="1:1" s="24" customFormat="1">
      <c r="A293" s="30"/>
    </row>
    <row r="294" spans="1:1" s="24" customFormat="1">
      <c r="A294" s="30"/>
    </row>
    <row r="295" spans="1:1" s="24" customFormat="1">
      <c r="A295" s="30"/>
    </row>
    <row r="296" spans="1:1" s="24" customFormat="1">
      <c r="A296" s="30"/>
    </row>
    <row r="297" spans="1:1" s="24" customFormat="1">
      <c r="A297" s="30"/>
    </row>
    <row r="298" spans="1:1" s="24" customFormat="1">
      <c r="A298" s="30"/>
    </row>
    <row r="299" spans="1:1" s="24" customFormat="1">
      <c r="A299" s="30"/>
    </row>
    <row r="300" spans="1:1" s="24" customFormat="1">
      <c r="A300" s="30"/>
    </row>
    <row r="301" spans="1:1" s="24" customFormat="1">
      <c r="A301" s="30"/>
    </row>
    <row r="302" spans="1:1" s="24" customFormat="1">
      <c r="A302" s="30"/>
    </row>
    <row r="303" spans="1:1" s="24" customFormat="1">
      <c r="A303" s="30"/>
    </row>
    <row r="304" spans="1:1" s="24" customFormat="1">
      <c r="A304" s="30"/>
    </row>
    <row r="305" spans="1:1" s="24" customFormat="1">
      <c r="A305" s="30"/>
    </row>
    <row r="306" spans="1:1" s="24" customFormat="1">
      <c r="A306" s="30"/>
    </row>
    <row r="307" spans="1:1" s="24" customFormat="1">
      <c r="A307" s="30"/>
    </row>
    <row r="308" spans="1:1" s="24" customFormat="1">
      <c r="A308" s="30"/>
    </row>
    <row r="309" spans="1:1" s="24" customFormat="1">
      <c r="A309" s="30"/>
    </row>
    <row r="310" spans="1:1" s="24" customFormat="1">
      <c r="A310" s="30"/>
    </row>
    <row r="311" spans="1:1" s="24" customFormat="1">
      <c r="A311" s="30"/>
    </row>
    <row r="312" spans="1:1" s="24" customFormat="1">
      <c r="A312" s="30"/>
    </row>
    <row r="313" spans="1:1" s="24" customFormat="1">
      <c r="A313" s="30"/>
    </row>
    <row r="314" spans="1:1" s="24" customFormat="1">
      <c r="A314" s="30"/>
    </row>
    <row r="315" spans="1:1" s="24" customFormat="1">
      <c r="A315" s="30"/>
    </row>
    <row r="316" spans="1:1" s="24" customFormat="1">
      <c r="A316" s="30"/>
    </row>
    <row r="317" spans="1:1" s="24" customFormat="1">
      <c r="A317" s="30"/>
    </row>
    <row r="318" spans="1:1" s="24" customFormat="1">
      <c r="A318" s="30"/>
    </row>
    <row r="319" spans="1:1" s="24" customFormat="1">
      <c r="A319" s="30"/>
    </row>
    <row r="320" spans="1:1" s="24" customFormat="1">
      <c r="A320" s="30"/>
    </row>
    <row r="321" spans="1:1" s="24" customFormat="1">
      <c r="A321" s="30"/>
    </row>
    <row r="322" spans="1:1" s="24" customFormat="1">
      <c r="A322" s="30"/>
    </row>
    <row r="323" spans="1:1" s="24" customFormat="1">
      <c r="A323" s="30"/>
    </row>
    <row r="324" spans="1:1" s="24" customFormat="1">
      <c r="A324" s="30"/>
    </row>
    <row r="325" spans="1:1" s="24" customFormat="1">
      <c r="A325" s="30"/>
    </row>
    <row r="326" spans="1:1" s="24" customFormat="1">
      <c r="A326" s="30"/>
    </row>
    <row r="327" spans="1:1" s="24" customFormat="1">
      <c r="A327" s="30"/>
    </row>
    <row r="328" spans="1:1" s="24" customFormat="1">
      <c r="A328" s="30"/>
    </row>
    <row r="329" spans="1:1" s="24" customFormat="1">
      <c r="A329" s="30"/>
    </row>
    <row r="330" spans="1:1" s="24" customFormat="1">
      <c r="A330" s="30"/>
    </row>
    <row r="331" spans="1:1" s="24" customFormat="1">
      <c r="A331" s="30"/>
    </row>
    <row r="332" spans="1:1" s="24" customFormat="1">
      <c r="A332" s="30"/>
    </row>
    <row r="333" spans="1:1" s="24" customFormat="1">
      <c r="A333" s="30"/>
    </row>
    <row r="334" spans="1:1" s="24" customFormat="1">
      <c r="A334" s="30"/>
    </row>
    <row r="335" spans="1:1" s="24" customFormat="1">
      <c r="A335" s="30"/>
    </row>
    <row r="336" spans="1:1" s="24" customFormat="1">
      <c r="A336" s="30"/>
    </row>
    <row r="337" spans="1:1" s="24" customFormat="1">
      <c r="A337" s="30"/>
    </row>
    <row r="338" spans="1:1" s="24" customFormat="1">
      <c r="A338" s="30"/>
    </row>
    <row r="339" spans="1:1" s="24" customFormat="1">
      <c r="A339" s="30"/>
    </row>
    <row r="340" spans="1:1" s="24" customFormat="1">
      <c r="A340" s="30"/>
    </row>
    <row r="341" spans="1:1" s="24" customFormat="1">
      <c r="A341" s="30"/>
    </row>
    <row r="342" spans="1:1" s="24" customFormat="1">
      <c r="A342" s="30"/>
    </row>
    <row r="343" spans="1:1" s="24" customFormat="1">
      <c r="A343" s="30"/>
    </row>
    <row r="344" spans="1:1" s="24" customFormat="1">
      <c r="A344" s="30"/>
    </row>
    <row r="345" spans="1:1" s="24" customFormat="1">
      <c r="A345" s="30"/>
    </row>
    <row r="346" spans="1:1" s="24" customFormat="1">
      <c r="A346" s="30"/>
    </row>
    <row r="347" spans="1:1" s="24" customFormat="1">
      <c r="A347" s="30"/>
    </row>
    <row r="348" spans="1:1" s="24" customFormat="1">
      <c r="A348" s="30"/>
    </row>
    <row r="349" spans="1:1" s="24" customFormat="1">
      <c r="A349" s="30"/>
    </row>
    <row r="350" spans="1:1" s="24" customFormat="1">
      <c r="A350" s="30"/>
    </row>
    <row r="351" spans="1:1" s="24" customFormat="1">
      <c r="A351" s="30"/>
    </row>
    <row r="352" spans="1:1" s="24" customFormat="1">
      <c r="A352" s="30"/>
    </row>
    <row r="353" spans="1:1" s="24" customFormat="1">
      <c r="A353" s="30"/>
    </row>
    <row r="354" spans="1:1" s="24" customFormat="1">
      <c r="A354" s="30"/>
    </row>
    <row r="355" spans="1:1" s="24" customFormat="1">
      <c r="A355" s="30"/>
    </row>
    <row r="356" spans="1:1" s="24" customFormat="1">
      <c r="A356" s="30"/>
    </row>
    <row r="357" spans="1:1" s="24" customFormat="1">
      <c r="A357" s="30"/>
    </row>
    <row r="358" spans="1:1" s="24" customFormat="1">
      <c r="A358" s="30"/>
    </row>
    <row r="359" spans="1:1" s="24" customFormat="1">
      <c r="A359" s="30"/>
    </row>
    <row r="360" spans="1:1" s="24" customFormat="1">
      <c r="A360" s="30"/>
    </row>
    <row r="361" spans="1:1" s="24" customFormat="1">
      <c r="A361" s="30"/>
    </row>
    <row r="362" spans="1:1" s="24" customFormat="1">
      <c r="A362" s="30"/>
    </row>
    <row r="363" spans="1:1" s="24" customFormat="1">
      <c r="A363" s="30"/>
    </row>
    <row r="364" spans="1:1" s="24" customFormat="1">
      <c r="A364" s="30"/>
    </row>
    <row r="365" spans="1:1" s="24" customFormat="1">
      <c r="A365" s="30"/>
    </row>
    <row r="366" spans="1:1" s="24" customFormat="1">
      <c r="A366" s="30"/>
    </row>
    <row r="367" spans="1:1" s="24" customFormat="1">
      <c r="A367" s="30"/>
    </row>
    <row r="368" spans="1:1" s="24" customFormat="1">
      <c r="A368" s="30"/>
    </row>
    <row r="369" spans="1:1" s="24" customFormat="1">
      <c r="A369" s="30"/>
    </row>
    <row r="370" spans="1:1" s="24" customFormat="1">
      <c r="A370" s="30"/>
    </row>
    <row r="371" spans="1:1" s="24" customFormat="1">
      <c r="A371" s="30"/>
    </row>
    <row r="372" spans="1:1" s="24" customFormat="1">
      <c r="A372" s="30"/>
    </row>
    <row r="373" spans="1:1" s="24" customFormat="1">
      <c r="A373" s="30"/>
    </row>
    <row r="374" spans="1:1" s="24" customFormat="1">
      <c r="A374" s="30"/>
    </row>
    <row r="375" spans="1:1" s="24" customFormat="1">
      <c r="A375" s="30"/>
    </row>
    <row r="376" spans="1:1" s="24" customFormat="1">
      <c r="A376" s="30"/>
    </row>
    <row r="377" spans="1:1" s="24" customFormat="1">
      <c r="A377" s="30"/>
    </row>
    <row r="378" spans="1:1" s="24" customFormat="1">
      <c r="A378" s="30"/>
    </row>
    <row r="379" spans="1:1" s="24" customFormat="1">
      <c r="A379" s="30"/>
    </row>
    <row r="380" spans="1:1" s="24" customFormat="1">
      <c r="A380" s="30"/>
    </row>
    <row r="381" spans="1:1" s="24" customFormat="1">
      <c r="A381" s="30"/>
    </row>
    <row r="382" spans="1:1" s="24" customFormat="1">
      <c r="A382" s="30"/>
    </row>
    <row r="383" spans="1:1" s="24" customFormat="1">
      <c r="A383" s="30"/>
    </row>
    <row r="384" spans="1:1" s="24" customFormat="1">
      <c r="A384" s="30"/>
    </row>
    <row r="385" spans="1:1" s="24" customFormat="1">
      <c r="A385" s="30"/>
    </row>
    <row r="386" spans="1:1" s="24" customFormat="1">
      <c r="A386" s="30"/>
    </row>
    <row r="387" spans="1:1" s="24" customFormat="1">
      <c r="A387" s="30"/>
    </row>
    <row r="388" spans="1:1" s="24" customFormat="1">
      <c r="A388" s="30"/>
    </row>
    <row r="389" spans="1:1" s="24" customFormat="1">
      <c r="A389" s="30"/>
    </row>
    <row r="390" spans="1:1" s="24" customFormat="1">
      <c r="A390" s="30"/>
    </row>
    <row r="391" spans="1:1" s="24" customFormat="1">
      <c r="A391" s="30"/>
    </row>
    <row r="392" spans="1:1" s="24" customFormat="1">
      <c r="A392" s="30"/>
    </row>
    <row r="393" spans="1:1" s="24" customFormat="1">
      <c r="A393" s="30"/>
    </row>
    <row r="394" spans="1:1" s="24" customFormat="1">
      <c r="A394" s="30"/>
    </row>
    <row r="395" spans="1:1" s="24" customFormat="1">
      <c r="A395" s="30"/>
    </row>
    <row r="396" spans="1:1" s="24" customFormat="1">
      <c r="A396" s="30"/>
    </row>
    <row r="397" spans="1:1" s="24" customFormat="1">
      <c r="A397" s="30"/>
    </row>
    <row r="398" spans="1:1" s="24" customFormat="1">
      <c r="A398" s="30"/>
    </row>
    <row r="399" spans="1:1" s="24" customFormat="1">
      <c r="A399" s="30"/>
    </row>
    <row r="400" spans="1:1" s="24" customFormat="1">
      <c r="A400" s="30"/>
    </row>
    <row r="401" spans="1:1" s="24" customFormat="1">
      <c r="A401" s="30"/>
    </row>
    <row r="402" spans="1:1" s="24" customFormat="1">
      <c r="A402" s="30"/>
    </row>
    <row r="403" spans="1:1" s="24" customFormat="1">
      <c r="A403" s="30"/>
    </row>
    <row r="404" spans="1:1" s="24" customFormat="1">
      <c r="A404" s="30"/>
    </row>
    <row r="405" spans="1:1" s="24" customFormat="1">
      <c r="A405" s="30"/>
    </row>
    <row r="406" spans="1:1" s="24" customFormat="1">
      <c r="A406" s="30"/>
    </row>
    <row r="407" spans="1:1" s="24" customFormat="1">
      <c r="A407" s="30"/>
    </row>
    <row r="408" spans="1:1" s="24" customFormat="1">
      <c r="A408" s="30"/>
    </row>
    <row r="409" spans="1:1" s="24" customFormat="1">
      <c r="A409" s="30"/>
    </row>
    <row r="410" spans="1:1" s="24" customFormat="1">
      <c r="A410" s="30"/>
    </row>
    <row r="411" spans="1:1" s="24" customFormat="1">
      <c r="A411" s="30"/>
    </row>
    <row r="412" spans="1:1" s="24" customFormat="1">
      <c r="A412" s="30"/>
    </row>
    <row r="413" spans="1:1" s="24" customFormat="1">
      <c r="A413" s="30"/>
    </row>
    <row r="414" spans="1:1" s="24" customFormat="1">
      <c r="A414" s="30"/>
    </row>
    <row r="415" spans="1:1" s="24" customFormat="1">
      <c r="A415" s="30"/>
    </row>
    <row r="416" spans="1:1" s="24" customFormat="1">
      <c r="A416" s="30"/>
    </row>
    <row r="417" spans="1:1" s="24" customFormat="1">
      <c r="A417" s="30"/>
    </row>
    <row r="418" spans="1:1" s="24" customFormat="1">
      <c r="A418" s="30"/>
    </row>
    <row r="419" spans="1:1" s="24" customFormat="1">
      <c r="A419" s="30"/>
    </row>
    <row r="420" spans="1:1" s="24" customFormat="1">
      <c r="A420" s="30"/>
    </row>
    <row r="421" spans="1:1" s="24" customFormat="1">
      <c r="A421" s="30"/>
    </row>
    <row r="422" spans="1:1" s="24" customFormat="1">
      <c r="A422" s="30"/>
    </row>
    <row r="423" spans="1:1" s="24" customFormat="1">
      <c r="A423" s="30"/>
    </row>
    <row r="424" spans="1:1" s="24" customFormat="1">
      <c r="A424" s="30"/>
    </row>
    <row r="425" spans="1:1" s="24" customFormat="1">
      <c r="A425" s="30"/>
    </row>
    <row r="426" spans="1:1" s="24" customFormat="1">
      <c r="A426" s="30"/>
    </row>
    <row r="427" spans="1:1" s="24" customFormat="1">
      <c r="A427" s="30"/>
    </row>
    <row r="428" spans="1:1" s="24" customFormat="1">
      <c r="A428" s="30"/>
    </row>
    <row r="429" spans="1:1" s="24" customFormat="1">
      <c r="A429" s="30"/>
    </row>
    <row r="430" spans="1:1" s="24" customFormat="1">
      <c r="A430" s="30"/>
    </row>
    <row r="431" spans="1:1" s="24" customFormat="1">
      <c r="A431" s="30"/>
    </row>
    <row r="432" spans="1:1" s="24" customFormat="1">
      <c r="A432" s="30"/>
    </row>
    <row r="433" spans="1:1" s="24" customFormat="1">
      <c r="A433" s="30"/>
    </row>
    <row r="434" spans="1:1" s="24" customFormat="1">
      <c r="A434" s="30"/>
    </row>
    <row r="435" spans="1:1" s="24" customFormat="1">
      <c r="A435" s="30"/>
    </row>
    <row r="436" spans="1:1" s="24" customFormat="1">
      <c r="A436" s="30"/>
    </row>
    <row r="437" spans="1:1" s="24" customFormat="1">
      <c r="A437" s="30"/>
    </row>
    <row r="438" spans="1:1" s="24" customFormat="1">
      <c r="A438" s="30"/>
    </row>
    <row r="439" spans="1:1" s="24" customFormat="1">
      <c r="A439" s="30"/>
    </row>
    <row r="440" spans="1:1" s="24" customFormat="1">
      <c r="A440" s="30"/>
    </row>
    <row r="441" spans="1:1" s="24" customFormat="1">
      <c r="A441" s="30"/>
    </row>
    <row r="442" spans="1:1" s="24" customFormat="1">
      <c r="A442" s="30"/>
    </row>
    <row r="443" spans="1:1" s="24" customFormat="1">
      <c r="A443" s="30"/>
    </row>
    <row r="444" spans="1:1" s="24" customFormat="1">
      <c r="A444" s="30"/>
    </row>
    <row r="445" spans="1:1" s="24" customFormat="1">
      <c r="A445" s="30"/>
    </row>
    <row r="446" spans="1:1" s="24" customFormat="1">
      <c r="A446" s="30"/>
    </row>
    <row r="447" spans="1:1" s="24" customFormat="1">
      <c r="A447" s="30"/>
    </row>
    <row r="448" spans="1:1" s="24" customFormat="1">
      <c r="A448" s="30"/>
    </row>
    <row r="449" spans="1:1" s="24" customFormat="1">
      <c r="A449" s="30"/>
    </row>
    <row r="450" spans="1:1" s="24" customFormat="1">
      <c r="A450" s="30"/>
    </row>
    <row r="451" spans="1:1" s="24" customFormat="1">
      <c r="A451" s="30"/>
    </row>
    <row r="452" spans="1:1" s="24" customFormat="1">
      <c r="A452" s="30"/>
    </row>
    <row r="453" spans="1:1" s="24" customFormat="1">
      <c r="A453" s="30"/>
    </row>
    <row r="454" spans="1:1" s="24" customFormat="1">
      <c r="A454" s="30"/>
    </row>
    <row r="455" spans="1:1" s="24" customFormat="1">
      <c r="A455" s="30"/>
    </row>
    <row r="456" spans="1:1" s="24" customFormat="1">
      <c r="A456" s="30"/>
    </row>
    <row r="457" spans="1:1" s="24" customFormat="1">
      <c r="A457" s="30"/>
    </row>
    <row r="458" spans="1:1" s="24" customFormat="1">
      <c r="A458" s="30"/>
    </row>
    <row r="459" spans="1:1" s="24" customFormat="1">
      <c r="A459" s="30"/>
    </row>
    <row r="460" spans="1:1" s="24" customFormat="1">
      <c r="A460" s="30"/>
    </row>
    <row r="461" spans="1:1" s="24" customFormat="1">
      <c r="A461" s="30"/>
    </row>
    <row r="462" spans="1:1" s="24" customFormat="1">
      <c r="A462" s="30"/>
    </row>
    <row r="463" spans="1:1" s="24" customFormat="1">
      <c r="A463" s="30"/>
    </row>
    <row r="464" spans="1:1" s="24" customFormat="1">
      <c r="A464" s="30"/>
    </row>
    <row r="465" spans="1:1" s="24" customFormat="1">
      <c r="A465" s="30"/>
    </row>
    <row r="466" spans="1:1" s="24" customFormat="1">
      <c r="A466" s="30"/>
    </row>
    <row r="467" spans="1:1" s="24" customFormat="1">
      <c r="A467" s="30"/>
    </row>
    <row r="468" spans="1:1" s="24" customFormat="1">
      <c r="A468" s="30"/>
    </row>
    <row r="469" spans="1:1" s="24" customFormat="1">
      <c r="A469" s="30"/>
    </row>
    <row r="470" spans="1:1" s="24" customFormat="1">
      <c r="A470" s="30"/>
    </row>
    <row r="471" spans="1:1" s="24" customFormat="1">
      <c r="A471" s="30"/>
    </row>
    <row r="472" spans="1:1" s="24" customFormat="1">
      <c r="A472" s="30"/>
    </row>
    <row r="473" spans="1:1" s="24" customFormat="1">
      <c r="A473" s="30"/>
    </row>
    <row r="474" spans="1:1" s="24" customFormat="1">
      <c r="A474" s="30"/>
    </row>
    <row r="475" spans="1:1" s="24" customFormat="1">
      <c r="A475" s="30"/>
    </row>
    <row r="476" spans="1:1" s="24" customFormat="1">
      <c r="A476" s="30"/>
    </row>
    <row r="477" spans="1:1" s="24" customFormat="1">
      <c r="A477" s="30"/>
    </row>
    <row r="478" spans="1:1" s="24" customFormat="1">
      <c r="A478" s="30"/>
    </row>
    <row r="479" spans="1:1" s="24" customFormat="1">
      <c r="A479" s="30"/>
    </row>
    <row r="480" spans="1:1" s="24" customFormat="1">
      <c r="A480" s="30"/>
    </row>
    <row r="481" spans="1:1" s="24" customFormat="1">
      <c r="A481" s="30"/>
    </row>
    <row r="482" spans="1:1" s="24" customFormat="1">
      <c r="A482" s="30"/>
    </row>
    <row r="483" spans="1:1" s="24" customFormat="1">
      <c r="A483" s="30"/>
    </row>
    <row r="484" spans="1:1" s="24" customFormat="1">
      <c r="A484" s="30"/>
    </row>
    <row r="485" spans="1:1" s="24" customFormat="1">
      <c r="A485" s="30"/>
    </row>
    <row r="486" spans="1:1" s="24" customFormat="1">
      <c r="A486" s="30"/>
    </row>
    <row r="487" spans="1:1" s="24" customFormat="1">
      <c r="A487" s="30"/>
    </row>
    <row r="488" spans="1:1" s="24" customFormat="1">
      <c r="A488" s="30"/>
    </row>
    <row r="489" spans="1:1" s="24" customFormat="1">
      <c r="A489" s="30"/>
    </row>
    <row r="490" spans="1:1" s="24" customFormat="1">
      <c r="A490" s="30"/>
    </row>
    <row r="491" spans="1:1" s="24" customFormat="1">
      <c r="A491" s="30"/>
    </row>
    <row r="492" spans="1:1" s="24" customFormat="1">
      <c r="A492" s="30"/>
    </row>
    <row r="493" spans="1:1" s="24" customFormat="1">
      <c r="A493" s="30"/>
    </row>
    <row r="494" spans="1:1" s="24" customFormat="1">
      <c r="A494" s="30"/>
    </row>
    <row r="495" spans="1:1" s="24" customFormat="1">
      <c r="A495" s="30"/>
    </row>
    <row r="496" spans="1:1" s="24" customFormat="1">
      <c r="A496" s="30"/>
    </row>
    <row r="497" spans="1:1" s="24" customFormat="1">
      <c r="A497" s="30"/>
    </row>
  </sheetData>
  <mergeCells count="39">
    <mergeCell ref="D26:F26"/>
    <mergeCell ref="D27:F27"/>
    <mergeCell ref="D21:F21"/>
    <mergeCell ref="D22:F22"/>
    <mergeCell ref="D23:F23"/>
    <mergeCell ref="D24:F24"/>
    <mergeCell ref="D25:F25"/>
    <mergeCell ref="B2:E2"/>
    <mergeCell ref="B72:D72"/>
    <mergeCell ref="B6:E6"/>
    <mergeCell ref="B9:G9"/>
    <mergeCell ref="B52:F52"/>
    <mergeCell ref="B13:E13"/>
    <mergeCell ref="B62:B65"/>
    <mergeCell ref="B66:B68"/>
    <mergeCell ref="B59:E59"/>
    <mergeCell ref="B7:E7"/>
    <mergeCell ref="D29:F29"/>
    <mergeCell ref="B30:F30"/>
    <mergeCell ref="D28:F28"/>
    <mergeCell ref="B15:F15"/>
    <mergeCell ref="D16:F16"/>
    <mergeCell ref="D17:F17"/>
    <mergeCell ref="I54:J56"/>
    <mergeCell ref="B174:C174"/>
    <mergeCell ref="B98:D98"/>
    <mergeCell ref="B88:G88"/>
    <mergeCell ref="C3:E3"/>
    <mergeCell ref="C4:E4"/>
    <mergeCell ref="B79:D79"/>
    <mergeCell ref="B85:E85"/>
    <mergeCell ref="B96:D96"/>
    <mergeCell ref="B81:H81"/>
    <mergeCell ref="B74:D74"/>
    <mergeCell ref="B70:B71"/>
    <mergeCell ref="B57:D57"/>
    <mergeCell ref="D18:F18"/>
    <mergeCell ref="D19:F19"/>
    <mergeCell ref="D20:F20"/>
  </mergeCells>
  <hyperlinks>
    <hyperlink ref="D174" r:id="rId1" location="-waste-characterization-&amp;-capacity-studies-" xr:uid="{00000000-0004-0000-1000-000001000000}"/>
    <hyperlink ref="E72" r:id="rId2" location="-solid-waste-data-updates-" xr:uid="{D43E4C25-0810-42A6-AEDE-1A5FB1A09BF6}"/>
    <hyperlink ref="D17" r:id="rId3" xr:uid="{F1C2D591-5BF9-4468-BED1-822249E5D2E9}"/>
    <hyperlink ref="D18" r:id="rId4" xr:uid="{CAFCC28F-FF4A-4CE8-8050-5AAE0F2EDA97}"/>
    <hyperlink ref="D19" r:id="rId5" xr:uid="{59676E4C-0C29-4E7E-A658-5269BC3CEBE5}"/>
    <hyperlink ref="D20" r:id="rId6" xr:uid="{AA91BA0E-5400-4EF7-9855-21291AB224A7}"/>
    <hyperlink ref="D21" r:id="rId7" xr:uid="{A5E21F7A-6BD2-43E1-AF9E-F80B5889CC83}"/>
    <hyperlink ref="D22" r:id="rId8" xr:uid="{F67091F7-2C18-4E76-91B1-219B11F0C420}"/>
    <hyperlink ref="D23" r:id="rId9" xr:uid="{A430CA76-E92D-4FF4-9C6A-6C99D664741F}"/>
    <hyperlink ref="D24" r:id="rId10" xr:uid="{B0F7DB20-62A4-4FFB-B9D6-235D3F6C5EAA}"/>
    <hyperlink ref="D25" r:id="rId11" xr:uid="{F2C0B924-492B-44F9-95A5-910EB4472E8E}"/>
    <hyperlink ref="D26" r:id="rId12" xr:uid="{B1A39048-BF68-425E-BE86-CE355052D7CD}"/>
    <hyperlink ref="D27" r:id="rId13" xr:uid="{C8729260-1CE8-4B54-9F1E-4B44D914B462}"/>
    <hyperlink ref="D28" r:id="rId14" xr:uid="{ACCCB03A-D3FC-4D52-A4FB-4236AFE13E5B}"/>
  </hyperlinks>
  <pageMargins left="0.75" right="0.75" top="1" bottom="1" header="0.5" footer="0.5"/>
  <pageSetup orientation="portrait" r:id="rId15"/>
  <headerFooter alignWithMargins="0"/>
  <drawing r:id="rId1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249977111117893"/>
  </sheetPr>
  <dimension ref="A1:P199"/>
  <sheetViews>
    <sheetView showGridLines="0" zoomScaleNormal="100" workbookViewId="0"/>
  </sheetViews>
  <sheetFormatPr defaultColWidth="9.140625" defaultRowHeight="13.15"/>
  <cols>
    <col min="1" max="1" width="2.7109375" style="2" customWidth="1"/>
    <col min="2" max="2" width="31.7109375" style="2" customWidth="1"/>
    <col min="3" max="4" width="29.140625" style="2" customWidth="1"/>
    <col min="5" max="6" width="15.85546875" style="2" customWidth="1"/>
    <col min="7" max="7" width="18.140625" style="2" customWidth="1"/>
    <col min="8" max="8" width="19.28515625" style="2" customWidth="1"/>
    <col min="9" max="11" width="15.85546875" style="2" customWidth="1"/>
    <col min="12" max="12" width="14" style="2" customWidth="1"/>
    <col min="13" max="13" width="12" style="2" customWidth="1"/>
    <col min="14" max="14" width="17.7109375" style="2" customWidth="1"/>
    <col min="15" max="15" width="19.28515625" style="2" customWidth="1"/>
    <col min="16" max="16" width="16.85546875" style="2" customWidth="1"/>
    <col min="17" max="17" width="18.5703125" style="2" customWidth="1"/>
    <col min="18" max="18" width="16.5703125" style="2" customWidth="1"/>
    <col min="19" max="19" width="22.7109375" style="2" customWidth="1"/>
    <col min="20" max="26" width="9.140625" style="2" customWidth="1"/>
    <col min="27" max="27" width="20.5703125" style="2" customWidth="1"/>
    <col min="28" max="28" width="9.140625" style="2" customWidth="1"/>
    <col min="29" max="29" width="45.5703125" style="2" customWidth="1"/>
    <col min="30" max="30" width="16.28515625" style="2" customWidth="1"/>
    <col min="31" max="31" width="6.5703125" style="2" customWidth="1"/>
    <col min="32" max="33" width="9.140625" style="2" customWidth="1"/>
    <col min="34" max="34" width="16.28515625" style="2" customWidth="1"/>
    <col min="35" max="35" width="16.5703125" style="2" customWidth="1"/>
    <col min="36" max="37" width="9.140625" style="2" customWidth="1"/>
    <col min="38" max="38" width="14.42578125" style="2" customWidth="1"/>
    <col min="39" max="39" width="9.140625" style="2" customWidth="1"/>
    <col min="40" max="40" width="22.5703125" style="2" customWidth="1"/>
    <col min="41" max="41" width="9.140625" style="2" customWidth="1"/>
    <col min="42" max="52" width="13.42578125" style="2" customWidth="1"/>
    <col min="53" max="16384" width="9.140625" style="2"/>
  </cols>
  <sheetData>
    <row r="1" spans="1:16" ht="13.9" thickBot="1">
      <c r="A1" s="30"/>
      <c r="B1" s="30"/>
      <c r="C1" s="30"/>
      <c r="D1" s="14"/>
      <c r="E1" s="30"/>
      <c r="F1" s="30"/>
      <c r="G1" s="30"/>
      <c r="H1" s="30"/>
      <c r="I1" s="30"/>
      <c r="J1" s="30"/>
      <c r="K1" s="30"/>
      <c r="L1" s="14"/>
      <c r="M1" s="30"/>
      <c r="N1" s="30"/>
      <c r="O1" s="14"/>
      <c r="P1" s="30"/>
    </row>
    <row r="2" spans="1:16" ht="21" customHeight="1" thickBot="1">
      <c r="A2" s="30"/>
      <c r="B2" s="1988" t="s">
        <v>1667</v>
      </c>
      <c r="C2" s="2047"/>
      <c r="D2" s="2047"/>
      <c r="E2" s="1670"/>
      <c r="F2" s="30"/>
      <c r="G2" s="30"/>
      <c r="H2" s="30"/>
      <c r="I2" s="30"/>
      <c r="J2" s="30"/>
      <c r="K2" s="30"/>
      <c r="L2" s="14"/>
      <c r="M2" s="30"/>
      <c r="N2" s="30"/>
      <c r="O2" s="14"/>
      <c r="P2" s="30"/>
    </row>
    <row r="3" spans="1:16">
      <c r="A3" s="30"/>
      <c r="B3" s="135" t="s">
        <v>373</v>
      </c>
      <c r="C3" s="1940" t="s">
        <v>386</v>
      </c>
      <c r="D3" s="1970"/>
      <c r="E3" s="1971"/>
      <c r="F3" s="30"/>
      <c r="G3" s="30"/>
      <c r="H3" s="30"/>
      <c r="I3" s="30"/>
      <c r="J3" s="30"/>
      <c r="K3" s="30"/>
      <c r="L3" s="14"/>
      <c r="M3" s="30"/>
      <c r="N3" s="30"/>
      <c r="O3" s="14"/>
      <c r="P3" s="30"/>
    </row>
    <row r="4" spans="1:16" ht="13.9" thickBot="1">
      <c r="A4" s="30"/>
      <c r="B4" s="136" t="s">
        <v>1213</v>
      </c>
      <c r="C4" s="1972" t="s">
        <v>1668</v>
      </c>
      <c r="D4" s="1827"/>
      <c r="E4" s="1828"/>
      <c r="F4" s="30"/>
      <c r="G4" s="30"/>
      <c r="H4" s="30"/>
      <c r="I4" s="30"/>
      <c r="J4" s="30"/>
      <c r="K4" s="30"/>
      <c r="L4" s="14"/>
      <c r="M4" s="30"/>
      <c r="N4" s="30"/>
      <c r="O4" s="14"/>
      <c r="P4" s="30"/>
    </row>
    <row r="5" spans="1:16" ht="13.9" thickBot="1">
      <c r="A5" s="30"/>
      <c r="B5" s="1456"/>
      <c r="C5" s="1456"/>
      <c r="D5" s="1456"/>
      <c r="E5" s="1456"/>
      <c r="F5" s="30"/>
      <c r="G5" s="30"/>
      <c r="H5" s="30"/>
      <c r="I5" s="30"/>
      <c r="J5" s="30"/>
      <c r="K5" s="30"/>
      <c r="L5" s="14"/>
      <c r="M5" s="30"/>
      <c r="N5" s="30"/>
      <c r="O5" s="14"/>
      <c r="P5" s="30"/>
    </row>
    <row r="6" spans="1:16" ht="15.75" customHeight="1" thickBot="1">
      <c r="A6" s="30"/>
      <c r="B6" s="1664" t="s">
        <v>377</v>
      </c>
      <c r="C6" s="1665"/>
      <c r="D6" s="1665"/>
      <c r="E6" s="1665"/>
      <c r="F6" s="1665"/>
      <c r="G6" s="1666"/>
      <c r="H6" s="30"/>
      <c r="I6" s="30"/>
      <c r="J6" s="30"/>
      <c r="K6" s="30"/>
      <c r="L6" s="14"/>
      <c r="M6" s="30"/>
      <c r="N6" s="30"/>
      <c r="O6" s="14"/>
      <c r="P6" s="30"/>
    </row>
    <row r="7" spans="1:16" ht="55.5" customHeight="1" thickBot="1">
      <c r="A7" s="30"/>
      <c r="B7" s="1807" t="s">
        <v>1669</v>
      </c>
      <c r="C7" s="1930"/>
      <c r="D7" s="1930"/>
      <c r="E7" s="1930"/>
      <c r="F7" s="1930"/>
      <c r="G7" s="1931"/>
      <c r="H7" s="30"/>
      <c r="I7" s="30"/>
      <c r="J7" s="30"/>
      <c r="K7" s="30"/>
      <c r="L7" s="30"/>
      <c r="M7" s="30"/>
      <c r="N7" s="30"/>
      <c r="O7" s="14"/>
      <c r="P7" s="30"/>
    </row>
    <row r="8" spans="1:16" ht="13.9" thickBot="1">
      <c r="A8" s="482"/>
      <c r="B8" s="482"/>
      <c r="C8" s="30"/>
      <c r="D8" s="30"/>
      <c r="E8" s="30"/>
      <c r="F8" s="30"/>
      <c r="G8" s="30"/>
      <c r="H8" s="30"/>
      <c r="I8" s="30"/>
      <c r="J8" s="30"/>
      <c r="K8" s="30"/>
      <c r="L8" s="30"/>
      <c r="M8" s="30"/>
      <c r="N8" s="14"/>
      <c r="O8" s="30"/>
      <c r="P8" s="482"/>
    </row>
    <row r="9" spans="1:16" ht="15.75" customHeight="1" thickBot="1">
      <c r="A9" s="482"/>
      <c r="B9" s="1710" t="s">
        <v>1670</v>
      </c>
      <c r="C9" s="1926"/>
      <c r="D9" s="2063"/>
      <c r="E9" s="30"/>
      <c r="F9" s="30"/>
      <c r="G9" s="30"/>
      <c r="H9" s="30"/>
      <c r="I9" s="30"/>
      <c r="J9" s="30"/>
      <c r="K9" s="30"/>
      <c r="L9" s="30"/>
      <c r="M9" s="30"/>
      <c r="N9" s="14"/>
      <c r="O9" s="30"/>
      <c r="P9" s="482"/>
    </row>
    <row r="10" spans="1:16" ht="38.25" customHeight="1">
      <c r="A10" s="482"/>
      <c r="B10" s="62" t="s">
        <v>1539</v>
      </c>
      <c r="C10" s="54" t="s">
        <v>1671</v>
      </c>
      <c r="D10" s="55" t="s">
        <v>1672</v>
      </c>
      <c r="E10" s="30"/>
      <c r="F10" s="30"/>
      <c r="G10" s="30"/>
      <c r="H10" s="30"/>
      <c r="I10" s="30"/>
      <c r="J10" s="30"/>
      <c r="K10" s="30"/>
      <c r="L10" s="30"/>
      <c r="M10" s="14"/>
      <c r="N10" s="30"/>
      <c r="O10" s="482"/>
      <c r="P10" s="482"/>
    </row>
    <row r="11" spans="1:16" ht="13.9" thickBot="1">
      <c r="A11" s="482"/>
      <c r="B11" s="503">
        <f>'Waste-Solid Waste Disposal'!D56</f>
        <v>0</v>
      </c>
      <c r="C11" s="1444">
        <f>IF(Inputs!C296="Yes",Inputs!C301,0.5)</f>
        <v>0.5</v>
      </c>
      <c r="D11" s="1445">
        <f>IF(Inputs!C296="Yes",Inputs!C302,0.5)</f>
        <v>0.5</v>
      </c>
      <c r="E11" s="30"/>
      <c r="F11" s="30"/>
      <c r="G11" s="30"/>
      <c r="H11" s="30"/>
      <c r="I11" s="30"/>
      <c r="J11" s="30"/>
      <c r="K11" s="30"/>
      <c r="L11" s="30"/>
      <c r="M11" s="14"/>
      <c r="N11" s="30"/>
      <c r="O11" s="482"/>
      <c r="P11" s="482"/>
    </row>
    <row r="12" spans="1:16" ht="25.5" customHeight="1" thickBot="1">
      <c r="A12" s="482"/>
      <c r="B12" s="2068" t="s">
        <v>1673</v>
      </c>
      <c r="C12" s="1927"/>
      <c r="D12" s="1667"/>
      <c r="E12" s="30"/>
      <c r="F12" s="30"/>
      <c r="G12" s="30"/>
      <c r="H12" s="30"/>
      <c r="I12" s="30"/>
      <c r="J12" s="30"/>
      <c r="K12" s="30"/>
      <c r="L12" s="30"/>
      <c r="M12" s="30"/>
      <c r="N12" s="14"/>
      <c r="O12" s="30"/>
      <c r="P12" s="482"/>
    </row>
    <row r="13" spans="1:16" ht="13.9" thickBot="1">
      <c r="A13" s="482"/>
      <c r="B13" s="482"/>
      <c r="C13" s="30"/>
      <c r="D13" s="30"/>
      <c r="E13" s="30"/>
      <c r="F13" s="30"/>
      <c r="G13" s="30"/>
      <c r="H13" s="30"/>
      <c r="I13" s="30"/>
      <c r="J13" s="30"/>
      <c r="K13" s="30"/>
      <c r="L13" s="30"/>
      <c r="M13" s="30"/>
      <c r="N13" s="14"/>
      <c r="O13" s="30"/>
      <c r="P13" s="482"/>
    </row>
    <row r="14" spans="1:16" s="24" customFormat="1" ht="16.5" customHeight="1" thickBot="1">
      <c r="A14" s="30"/>
      <c r="B14" s="1710" t="s">
        <v>1674</v>
      </c>
      <c r="C14" s="1926"/>
      <c r="D14" s="1926"/>
      <c r="E14" s="1926"/>
      <c r="F14" s="1926"/>
      <c r="G14" s="1926"/>
      <c r="H14" s="1926"/>
      <c r="I14" s="2063"/>
      <c r="J14" s="30"/>
      <c r="K14" s="30"/>
      <c r="L14" s="30"/>
      <c r="M14" s="30"/>
      <c r="N14" s="30"/>
      <c r="O14" s="30"/>
      <c r="P14" s="30"/>
    </row>
    <row r="15" spans="1:16" s="24" customFormat="1" ht="66">
      <c r="A15" s="30"/>
      <c r="B15" s="62" t="s">
        <v>1675</v>
      </c>
      <c r="C15" s="54" t="s">
        <v>1676</v>
      </c>
      <c r="D15" s="54" t="s">
        <v>1677</v>
      </c>
      <c r="E15" s="54" t="s">
        <v>1678</v>
      </c>
      <c r="F15" s="54" t="s">
        <v>1679</v>
      </c>
      <c r="G15" s="54" t="s">
        <v>1680</v>
      </c>
      <c r="H15" s="54" t="s">
        <v>1681</v>
      </c>
      <c r="I15" s="55" t="s">
        <v>1682</v>
      </c>
      <c r="J15" s="30"/>
      <c r="K15" s="30"/>
      <c r="L15" s="30"/>
      <c r="M15" s="30"/>
      <c r="N15" s="30"/>
      <c r="O15" s="30"/>
      <c r="P15" s="30"/>
    </row>
    <row r="16" spans="1:16" s="24" customFormat="1">
      <c r="A16" s="30"/>
      <c r="B16" s="1470" t="s">
        <v>1683</v>
      </c>
      <c r="C16" s="490">
        <f>(B11*C11)*'Emission Factors'!$D$144</f>
        <v>0</v>
      </c>
      <c r="D16" s="953">
        <v>4</v>
      </c>
      <c r="E16" s="953">
        <v>0.3</v>
      </c>
      <c r="F16" s="985">
        <f>(C16*D16)*'Emission Factors'!D137</f>
        <v>0</v>
      </c>
      <c r="G16" s="954">
        <v>0</v>
      </c>
      <c r="H16" s="490">
        <f>F16-(F16*G16)</f>
        <v>0</v>
      </c>
      <c r="I16" s="986">
        <f>(C16*E16)*'Emission Factors'!D137</f>
        <v>0</v>
      </c>
      <c r="J16" s="30"/>
      <c r="K16" s="30"/>
      <c r="L16" s="30"/>
      <c r="M16" s="30"/>
      <c r="N16" s="30"/>
      <c r="O16" s="30"/>
      <c r="P16" s="30"/>
    </row>
    <row r="17" spans="2:12" s="24" customFormat="1" ht="13.9" thickBot="1">
      <c r="B17" s="81" t="s">
        <v>168</v>
      </c>
      <c r="C17" s="1446">
        <f>(B11*D11)*'Emission Factors'!$D$144</f>
        <v>0</v>
      </c>
      <c r="D17" s="1447">
        <v>1</v>
      </c>
      <c r="E17" s="1448">
        <v>0</v>
      </c>
      <c r="F17" s="1449">
        <f>(C17*D17)*'Emission Factors'!D137</f>
        <v>0</v>
      </c>
      <c r="G17" s="1450">
        <v>1</v>
      </c>
      <c r="H17" s="1451">
        <f>F17-(F17*G17)</f>
        <v>0</v>
      </c>
      <c r="I17" s="1452">
        <f>(C17*E17)*'Emission Factors'!D137</f>
        <v>0</v>
      </c>
      <c r="J17" s="30"/>
      <c r="K17" s="30"/>
      <c r="L17" s="30"/>
    </row>
    <row r="18" spans="2:12" s="24" customFormat="1" ht="13.9" thickBot="1">
      <c r="B18" s="2087" t="s">
        <v>1684</v>
      </c>
      <c r="C18" s="2056"/>
      <c r="D18" s="2056"/>
      <c r="E18" s="2056"/>
      <c r="F18" s="2056"/>
      <c r="G18" s="2057"/>
      <c r="H18" s="1446">
        <f>SUM(H16:H17)</f>
        <v>0</v>
      </c>
      <c r="I18" s="1453">
        <f>SUM(I16:I17)</f>
        <v>0</v>
      </c>
      <c r="J18" s="30"/>
      <c r="K18" s="30"/>
      <c r="L18" s="30"/>
    </row>
    <row r="19" spans="2:12" s="24" customFormat="1" ht="73.5" customHeight="1" thickBot="1">
      <c r="B19" s="2088" t="s">
        <v>1685</v>
      </c>
      <c r="C19" s="1962"/>
      <c r="D19" s="2089"/>
      <c r="E19" s="2090"/>
      <c r="F19" s="435" t="s">
        <v>1686</v>
      </c>
      <c r="G19" s="30"/>
      <c r="H19" s="1301"/>
      <c r="I19" s="30"/>
      <c r="J19" s="30"/>
      <c r="K19" s="1301"/>
      <c r="L19" s="30"/>
    </row>
    <row r="20" spans="2:12" s="24" customFormat="1">
      <c r="B20" s="30"/>
      <c r="C20" s="30"/>
      <c r="D20" s="30"/>
      <c r="E20" s="30"/>
      <c r="F20" s="30"/>
      <c r="G20" s="30"/>
      <c r="H20" s="30"/>
      <c r="I20" s="30"/>
      <c r="J20" s="30"/>
      <c r="K20" s="30"/>
      <c r="L20" s="30"/>
    </row>
    <row r="21" spans="2:12" s="24" customFormat="1" ht="357" customHeight="1">
      <c r="B21" s="30"/>
      <c r="C21" s="30"/>
      <c r="D21" s="30"/>
      <c r="E21" s="30"/>
      <c r="F21" s="30"/>
      <c r="G21" s="30"/>
      <c r="H21" s="30"/>
      <c r="I21" s="30"/>
      <c r="J21" s="30"/>
      <c r="K21" s="30"/>
      <c r="L21" s="30"/>
    </row>
    <row r="22" spans="2:12" s="24" customFormat="1">
      <c r="B22" s="30"/>
      <c r="C22" s="30"/>
      <c r="D22" s="30"/>
      <c r="E22" s="30"/>
      <c r="F22" s="30"/>
      <c r="G22" s="30"/>
      <c r="H22" s="30"/>
      <c r="I22" s="30"/>
      <c r="J22" s="30"/>
      <c r="K22" s="30"/>
      <c r="L22" s="30"/>
    </row>
    <row r="23" spans="2:12" s="24" customFormat="1">
      <c r="B23" s="30"/>
      <c r="C23" s="30"/>
      <c r="D23" s="30"/>
      <c r="E23" s="30"/>
      <c r="F23" s="30"/>
      <c r="G23" s="30"/>
      <c r="H23" s="30"/>
      <c r="I23" s="30"/>
      <c r="J23" s="30"/>
      <c r="K23" s="30"/>
      <c r="L23" s="30"/>
    </row>
    <row r="24" spans="2:12" s="24" customFormat="1">
      <c r="B24" s="30"/>
      <c r="C24" s="30"/>
      <c r="D24" s="30"/>
      <c r="E24" s="30"/>
      <c r="F24" s="30"/>
      <c r="G24" s="30"/>
      <c r="H24" s="30"/>
      <c r="I24" s="30"/>
      <c r="J24" s="30"/>
      <c r="K24" s="30"/>
      <c r="L24" s="30"/>
    </row>
    <row r="25" spans="2:12" s="24" customFormat="1">
      <c r="B25" s="30"/>
      <c r="C25" s="30"/>
      <c r="D25" s="30"/>
      <c r="E25" s="30"/>
      <c r="F25" s="30"/>
      <c r="G25" s="30"/>
      <c r="H25" s="30"/>
      <c r="I25" s="30"/>
      <c r="J25" s="30"/>
      <c r="K25" s="30"/>
      <c r="L25" s="30"/>
    </row>
    <row r="26" spans="2:12" s="24" customFormat="1">
      <c r="B26" s="30"/>
      <c r="C26" s="30"/>
      <c r="D26" s="30"/>
      <c r="E26" s="30"/>
      <c r="F26" s="30"/>
      <c r="G26" s="30"/>
      <c r="H26" s="30"/>
      <c r="I26" s="30"/>
      <c r="J26" s="30"/>
      <c r="K26" s="30"/>
      <c r="L26" s="30"/>
    </row>
    <row r="27" spans="2:12" s="24" customFormat="1">
      <c r="B27" s="30"/>
      <c r="C27" s="30"/>
      <c r="D27" s="30"/>
      <c r="E27" s="30"/>
      <c r="F27" s="30"/>
      <c r="G27" s="30"/>
      <c r="H27" s="30"/>
      <c r="I27" s="30"/>
      <c r="J27" s="30"/>
      <c r="K27" s="30"/>
      <c r="L27" s="30"/>
    </row>
    <row r="28" spans="2:12" s="24" customFormat="1">
      <c r="B28" s="30"/>
      <c r="C28" s="30"/>
      <c r="D28" s="30"/>
      <c r="E28" s="30"/>
      <c r="F28" s="30"/>
      <c r="G28" s="30"/>
      <c r="H28" s="30"/>
      <c r="I28" s="30"/>
      <c r="J28" s="30"/>
      <c r="K28" s="30"/>
      <c r="L28" s="30"/>
    </row>
    <row r="29" spans="2:12" s="24" customFormat="1">
      <c r="B29" s="30"/>
      <c r="C29" s="30"/>
      <c r="D29" s="30"/>
      <c r="E29" s="30"/>
      <c r="F29" s="30"/>
      <c r="G29" s="30"/>
      <c r="H29" s="30"/>
      <c r="I29" s="30"/>
      <c r="J29" s="30"/>
      <c r="K29" s="30"/>
      <c r="L29" s="30"/>
    </row>
    <row r="30" spans="2:12" s="24" customFormat="1">
      <c r="B30" s="30"/>
      <c r="C30" s="30"/>
      <c r="D30" s="30"/>
      <c r="E30" s="30"/>
      <c r="F30" s="30"/>
      <c r="G30" s="30"/>
      <c r="H30" s="30"/>
      <c r="I30" s="30"/>
      <c r="J30" s="30"/>
      <c r="K30" s="30"/>
      <c r="L30" s="30"/>
    </row>
    <row r="31" spans="2:12" s="24" customFormat="1">
      <c r="B31" s="30"/>
      <c r="C31" s="30"/>
      <c r="D31" s="30"/>
      <c r="E31" s="30"/>
      <c r="F31" s="30"/>
      <c r="G31" s="30"/>
      <c r="H31" s="30"/>
      <c r="I31" s="30"/>
      <c r="J31" s="30"/>
      <c r="K31" s="30"/>
      <c r="L31" s="30"/>
    </row>
    <row r="32" spans="2:12" s="24" customFormat="1">
      <c r="B32" s="30"/>
      <c r="C32" s="30"/>
      <c r="D32" s="30"/>
      <c r="E32" s="30"/>
      <c r="F32" s="30"/>
      <c r="G32" s="30"/>
      <c r="H32" s="30"/>
      <c r="I32" s="30"/>
      <c r="J32" s="30"/>
      <c r="K32" s="30"/>
      <c r="L32" s="30"/>
    </row>
    <row r="33" s="24" customFormat="1"/>
    <row r="34" s="24" customFormat="1"/>
    <row r="35" s="24" customFormat="1"/>
    <row r="36" s="24" customFormat="1"/>
    <row r="37" s="24" customFormat="1"/>
    <row r="38" s="24" customFormat="1"/>
    <row r="39" s="24" customFormat="1"/>
    <row r="40" s="24" customFormat="1"/>
    <row r="41" s="24" customFormat="1"/>
    <row r="42" s="24" customFormat="1"/>
    <row r="43" s="24" customFormat="1"/>
    <row r="44" s="24" customFormat="1"/>
    <row r="45" s="24" customFormat="1"/>
    <row r="46" s="24" customFormat="1"/>
    <row r="47" s="24" customFormat="1"/>
    <row r="48"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row r="100" s="24" customFormat="1"/>
    <row r="101" s="24" customFormat="1"/>
    <row r="102" s="24" customFormat="1"/>
    <row r="103" s="24" customFormat="1"/>
    <row r="104" s="24" customFormat="1"/>
    <row r="105" s="24" customFormat="1"/>
    <row r="106" s="24" customFormat="1"/>
    <row r="107" s="24" customFormat="1"/>
    <row r="108" s="24" customFormat="1"/>
    <row r="109" s="24" customFormat="1"/>
    <row r="110" s="24" customFormat="1"/>
    <row r="111" s="24" customFormat="1"/>
    <row r="112" s="24" customFormat="1"/>
    <row r="113" s="24" customFormat="1"/>
    <row r="114" s="24" customFormat="1"/>
    <row r="115" s="24" customFormat="1"/>
    <row r="116" s="24" customFormat="1"/>
    <row r="117" s="24" customFormat="1"/>
    <row r="118" s="24" customFormat="1"/>
    <row r="119" s="24" customFormat="1"/>
    <row r="120" s="24" customFormat="1"/>
    <row r="121" s="24" customFormat="1"/>
    <row r="122" s="24" customFormat="1"/>
    <row r="123" s="24" customFormat="1"/>
    <row r="124" s="24" customFormat="1"/>
    <row r="125" s="24" customFormat="1"/>
    <row r="126" s="24" customFormat="1"/>
    <row r="127" s="24" customFormat="1"/>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sheetData>
  <mergeCells count="10">
    <mergeCell ref="B2:E2"/>
    <mergeCell ref="C3:E3"/>
    <mergeCell ref="C4:E4"/>
    <mergeCell ref="B6:G6"/>
    <mergeCell ref="B7:G7"/>
    <mergeCell ref="B12:D12"/>
    <mergeCell ref="B18:G18"/>
    <mergeCell ref="B14:I14"/>
    <mergeCell ref="B9:D9"/>
    <mergeCell ref="B19:E19"/>
  </mergeCells>
  <hyperlinks>
    <hyperlink ref="F19" r:id="rId1" location="-waste-characterization-&amp;-capacity-studies-" xr:uid="{00000000-0004-0000-1100-000000000000}"/>
  </hyperlinks>
  <pageMargins left="0.75" right="0.75" top="1" bottom="1" header="0.5" footer="0.5"/>
  <pageSetup orientation="portrait"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249977111117893"/>
  </sheetPr>
  <dimension ref="A1:BE433"/>
  <sheetViews>
    <sheetView showGridLines="0" zoomScaleNormal="100" workbookViewId="0"/>
  </sheetViews>
  <sheetFormatPr defaultColWidth="9.140625" defaultRowHeight="13.15"/>
  <cols>
    <col min="1" max="1" width="2.7109375" style="2" customWidth="1"/>
    <col min="2" max="2" width="25.5703125" style="2" bestFit="1" customWidth="1"/>
    <col min="3" max="4" width="29.140625" style="2" customWidth="1"/>
    <col min="5" max="6" width="15.85546875" style="2" customWidth="1"/>
    <col min="7" max="7" width="18.140625" style="2" customWidth="1"/>
    <col min="8" max="8" width="19.28515625" style="2" customWidth="1"/>
    <col min="9" max="11" width="15.85546875" style="2" customWidth="1"/>
    <col min="12" max="12" width="14" style="2" customWidth="1"/>
    <col min="13" max="13" width="12" style="2" customWidth="1"/>
    <col min="14" max="14" width="17.7109375" style="2" customWidth="1"/>
    <col min="15" max="15" width="19.28515625" style="2" customWidth="1"/>
    <col min="16" max="16" width="16.85546875" style="2" customWidth="1"/>
    <col min="17" max="17" width="18.5703125" style="2" customWidth="1"/>
    <col min="18" max="18" width="16.5703125" style="2" customWidth="1"/>
    <col min="19" max="19" width="22.7109375" style="2" customWidth="1"/>
    <col min="20" max="26" width="9.140625" style="2" customWidth="1"/>
    <col min="27" max="27" width="20.5703125" style="2" customWidth="1"/>
    <col min="28" max="28" width="9.140625" style="2" customWidth="1"/>
    <col min="29" max="29" width="45.5703125" style="2" customWidth="1"/>
    <col min="30" max="30" width="16.28515625" style="2" customWidth="1"/>
    <col min="31" max="31" width="6.5703125" style="2" customWidth="1"/>
    <col min="32" max="33" width="9.140625" style="2" customWidth="1"/>
    <col min="34" max="34" width="16.28515625" style="2" customWidth="1"/>
    <col min="35" max="35" width="16.5703125" style="2" customWidth="1"/>
    <col min="36" max="37" width="9.140625" style="2" customWidth="1"/>
    <col min="38" max="38" width="14.42578125" style="2" customWidth="1"/>
    <col min="39" max="39" width="9.140625" style="2" customWidth="1"/>
    <col min="40" max="40" width="22.5703125" style="2" customWidth="1"/>
    <col min="41" max="41" width="9.140625" style="2" customWidth="1"/>
    <col min="42" max="52" width="13.42578125" style="2" customWidth="1"/>
    <col min="53" max="16384" width="9.140625" style="2"/>
  </cols>
  <sheetData>
    <row r="1" spans="1:16" ht="13.9" thickBot="1">
      <c r="A1" s="30"/>
      <c r="B1" s="30"/>
      <c r="C1" s="30"/>
      <c r="D1" s="14"/>
      <c r="E1" s="30"/>
      <c r="F1" s="30"/>
      <c r="G1" s="30"/>
      <c r="H1" s="30"/>
      <c r="I1" s="30"/>
      <c r="J1" s="30"/>
      <c r="K1" s="30"/>
      <c r="L1" s="14"/>
      <c r="M1" s="30"/>
      <c r="N1" s="30"/>
      <c r="O1" s="14"/>
      <c r="P1" s="30"/>
    </row>
    <row r="2" spans="1:16" ht="21" customHeight="1" thickBot="1">
      <c r="A2" s="30"/>
      <c r="B2" s="1988" t="s">
        <v>1687</v>
      </c>
      <c r="C2" s="2047"/>
      <c r="D2" s="2047"/>
      <c r="E2" s="1670"/>
      <c r="F2" s="30"/>
      <c r="G2" s="30"/>
      <c r="H2" s="30"/>
      <c r="I2" s="30"/>
      <c r="J2" s="30"/>
      <c r="K2" s="30"/>
      <c r="L2" s="14"/>
      <c r="M2" s="30"/>
      <c r="N2" s="30"/>
      <c r="O2" s="14"/>
      <c r="P2" s="30"/>
    </row>
    <row r="3" spans="1:16">
      <c r="A3" s="30"/>
      <c r="B3" s="135" t="s">
        <v>373</v>
      </c>
      <c r="C3" s="1940" t="s">
        <v>386</v>
      </c>
      <c r="D3" s="1970"/>
      <c r="E3" s="1971"/>
      <c r="F3" s="30"/>
      <c r="G3" s="30"/>
      <c r="H3" s="30"/>
      <c r="I3" s="30"/>
      <c r="J3" s="30"/>
      <c r="K3" s="30"/>
      <c r="L3" s="14"/>
      <c r="M3" s="30"/>
      <c r="N3" s="30"/>
      <c r="O3" s="14"/>
      <c r="P3" s="30"/>
    </row>
    <row r="4" spans="1:16" ht="13.9" thickBot="1">
      <c r="A4" s="30"/>
      <c r="B4" s="136" t="s">
        <v>1213</v>
      </c>
      <c r="C4" s="1972" t="s">
        <v>403</v>
      </c>
      <c r="D4" s="1827"/>
      <c r="E4" s="1828"/>
      <c r="F4" s="30"/>
      <c r="G4" s="30"/>
      <c r="H4" s="30"/>
      <c r="I4" s="30"/>
      <c r="J4" s="30"/>
      <c r="K4" s="30"/>
      <c r="L4" s="14"/>
      <c r="M4" s="30"/>
      <c r="N4" s="30"/>
      <c r="O4" s="14"/>
      <c r="P4" s="30"/>
    </row>
    <row r="5" spans="1:16" ht="13.9" thickBot="1">
      <c r="A5" s="30"/>
      <c r="B5" s="1456"/>
      <c r="C5" s="1456"/>
      <c r="D5" s="1456"/>
      <c r="E5" s="1456"/>
      <c r="F5" s="30"/>
      <c r="G5" s="30"/>
      <c r="H5" s="30"/>
      <c r="I5" s="30"/>
      <c r="J5" s="30"/>
      <c r="K5" s="30"/>
      <c r="L5" s="14"/>
      <c r="M5" s="30"/>
      <c r="N5" s="30"/>
      <c r="O5" s="14"/>
      <c r="P5" s="30"/>
    </row>
    <row r="6" spans="1:16" ht="15.75" customHeight="1" thickBot="1">
      <c r="A6" s="30"/>
      <c r="B6" s="1664" t="s">
        <v>377</v>
      </c>
      <c r="C6" s="1665"/>
      <c r="D6" s="1665"/>
      <c r="E6" s="1665"/>
      <c r="F6" s="1665"/>
      <c r="G6" s="1666"/>
      <c r="H6" s="30"/>
      <c r="I6" s="30"/>
      <c r="J6" s="30"/>
      <c r="K6" s="30"/>
      <c r="L6" s="14"/>
      <c r="M6" s="30"/>
      <c r="N6" s="30"/>
      <c r="O6" s="14"/>
      <c r="P6" s="30"/>
    </row>
    <row r="7" spans="1:16" ht="154.15" customHeight="1" thickBot="1">
      <c r="A7" s="30"/>
      <c r="B7" s="1994" t="s">
        <v>1688</v>
      </c>
      <c r="C7" s="1808"/>
      <c r="D7" s="1808"/>
      <c r="E7" s="1808"/>
      <c r="F7" s="1808"/>
      <c r="G7" s="1809"/>
      <c r="H7" s="30"/>
      <c r="I7" s="30"/>
      <c r="J7" s="30"/>
      <c r="K7" s="30"/>
      <c r="L7" s="14"/>
      <c r="M7" s="30"/>
      <c r="N7" s="30"/>
      <c r="O7" s="14"/>
      <c r="P7" s="30"/>
    </row>
    <row r="8" spans="1:16" ht="13.9" thickBot="1">
      <c r="A8" s="482"/>
      <c r="B8" s="482"/>
      <c r="C8" s="482"/>
      <c r="D8" s="30"/>
      <c r="E8" s="30"/>
      <c r="F8" s="30"/>
      <c r="G8" s="30"/>
      <c r="H8" s="30"/>
      <c r="I8" s="30"/>
      <c r="J8" s="30"/>
      <c r="K8" s="30"/>
      <c r="L8" s="30"/>
      <c r="M8" s="30"/>
      <c r="N8" s="14"/>
      <c r="O8" s="30"/>
      <c r="P8" s="482"/>
    </row>
    <row r="9" spans="1:16" s="24" customFormat="1" ht="14.45" thickBot="1">
      <c r="A9" s="30"/>
      <c r="B9" s="1682" t="s">
        <v>1689</v>
      </c>
      <c r="C9" s="1860"/>
      <c r="D9" s="1670"/>
      <c r="E9" s="30"/>
      <c r="F9" s="30"/>
      <c r="G9" s="30"/>
      <c r="H9" s="14"/>
      <c r="I9" s="30"/>
      <c r="J9" s="30"/>
      <c r="K9" s="30"/>
      <c r="L9" s="30"/>
      <c r="M9" s="30"/>
      <c r="N9" s="14"/>
      <c r="O9" s="30"/>
      <c r="P9" s="30"/>
    </row>
    <row r="10" spans="1:16" s="24" customFormat="1">
      <c r="A10" s="30"/>
      <c r="B10" s="1178" t="s">
        <v>1376</v>
      </c>
      <c r="C10" s="1179" t="s">
        <v>1377</v>
      </c>
      <c r="D10" s="1467" t="s">
        <v>1378</v>
      </c>
      <c r="E10" s="30"/>
      <c r="F10" s="30"/>
      <c r="G10" s="30"/>
      <c r="H10" s="14"/>
      <c r="I10" s="30"/>
      <c r="J10" s="30"/>
      <c r="K10" s="30"/>
      <c r="L10" s="30"/>
      <c r="M10" s="30"/>
      <c r="N10" s="14"/>
      <c r="O10" s="30"/>
      <c r="P10" s="30"/>
    </row>
    <row r="11" spans="1:16" s="24" customFormat="1" ht="12.75" customHeight="1" thickBot="1">
      <c r="A11" s="30"/>
      <c r="B11" s="254">
        <f>H45</f>
        <v>3.7825083403830845E-3</v>
      </c>
      <c r="C11" s="1405">
        <f>J29</f>
        <v>463.22699005570087</v>
      </c>
      <c r="D11" s="1454">
        <f>H60</f>
        <v>0.94562708509577109</v>
      </c>
      <c r="E11" s="30"/>
      <c r="F11" s="30"/>
      <c r="G11" s="30"/>
      <c r="H11" s="14"/>
      <c r="I11" s="30"/>
      <c r="J11" s="30"/>
      <c r="K11" s="30"/>
      <c r="L11" s="30"/>
      <c r="M11" s="30"/>
      <c r="N11" s="14"/>
      <c r="O11" s="30"/>
      <c r="P11" s="30"/>
    </row>
    <row r="12" spans="1:16" s="24" customFormat="1" ht="12.75" customHeight="1" thickBot="1">
      <c r="A12" s="30"/>
      <c r="B12" s="30"/>
      <c r="C12" s="30"/>
      <c r="D12" s="30"/>
      <c r="E12" s="30"/>
      <c r="F12" s="30"/>
      <c r="G12" s="30"/>
      <c r="H12" s="14"/>
      <c r="I12" s="30"/>
      <c r="J12" s="30"/>
      <c r="K12" s="30"/>
      <c r="L12" s="30"/>
      <c r="M12" s="30"/>
      <c r="N12" s="30"/>
      <c r="O12" s="30"/>
      <c r="P12" s="30"/>
    </row>
    <row r="13" spans="1:16" s="24" customFormat="1" ht="14.45" thickBot="1">
      <c r="A13" s="30"/>
      <c r="B13" s="1710" t="s">
        <v>1690</v>
      </c>
      <c r="C13" s="1872"/>
      <c r="D13" s="1711"/>
      <c r="E13" s="1712"/>
      <c r="F13" s="30"/>
      <c r="G13" s="30"/>
      <c r="H13" s="14"/>
      <c r="I13" s="30"/>
      <c r="J13" s="30"/>
      <c r="K13" s="30"/>
      <c r="L13" s="30"/>
      <c r="M13" s="30"/>
      <c r="N13" s="30"/>
      <c r="O13" s="30"/>
      <c r="P13" s="30"/>
    </row>
    <row r="14" spans="1:16" s="24" customFormat="1" ht="38.25" customHeight="1">
      <c r="A14" s="30"/>
      <c r="B14" s="62" t="s">
        <v>183</v>
      </c>
      <c r="C14" s="54" t="s">
        <v>1691</v>
      </c>
      <c r="D14" s="54" t="s">
        <v>1692</v>
      </c>
      <c r="E14" s="55" t="s">
        <v>1693</v>
      </c>
      <c r="F14" s="30"/>
      <c r="G14" s="30"/>
      <c r="H14" s="30"/>
      <c r="I14" s="14"/>
      <c r="J14" s="30"/>
      <c r="K14" s="30"/>
      <c r="L14" s="30"/>
      <c r="M14" s="30"/>
      <c r="N14" s="30"/>
      <c r="O14" s="30"/>
      <c r="P14" s="30"/>
    </row>
    <row r="15" spans="1:16" s="24" customFormat="1" ht="12.75" customHeight="1">
      <c r="A15" s="30"/>
      <c r="B15" s="386" t="s">
        <v>186</v>
      </c>
      <c r="C15" s="1310">
        <f>'Waste-Solid Waste Disposal'!C54</f>
        <v>0</v>
      </c>
      <c r="D15" s="783">
        <f>'Waste-Solid Waste Disposal'!E68</f>
        <v>0.89979550102249484</v>
      </c>
      <c r="E15" s="1327">
        <f>C15*D15</f>
        <v>0</v>
      </c>
      <c r="F15" s="30"/>
      <c r="G15" s="30"/>
      <c r="H15" s="30"/>
      <c r="I15" s="14"/>
      <c r="J15" s="30"/>
      <c r="K15" s="30"/>
      <c r="L15" s="30"/>
      <c r="M15" s="30"/>
      <c r="N15" s="30"/>
      <c r="O15" s="30"/>
      <c r="P15" s="30"/>
    </row>
    <row r="16" spans="1:16" s="24" customFormat="1" ht="12.75" customHeight="1">
      <c r="A16" s="30"/>
      <c r="B16" s="386" t="s">
        <v>190</v>
      </c>
      <c r="C16" s="1310">
        <f>'Waste-Solid Waste Disposal'!C55</f>
        <v>33385.973651577624</v>
      </c>
      <c r="D16" s="783">
        <f>'Waste-Solid Waste Disposal'!E68</f>
        <v>0.89979550102249484</v>
      </c>
      <c r="E16" s="1327">
        <f>C16*D16</f>
        <v>30040.548888945101</v>
      </c>
      <c r="F16" s="1328"/>
      <c r="G16" s="30"/>
      <c r="H16" s="30"/>
      <c r="I16" s="14"/>
      <c r="J16" s="30"/>
      <c r="K16" s="30"/>
      <c r="L16" s="30"/>
      <c r="M16" s="30"/>
      <c r="N16" s="30"/>
      <c r="O16" s="30"/>
      <c r="P16" s="30"/>
    </row>
    <row r="17" spans="2:57" s="24" customFormat="1" ht="12.75" customHeight="1" thickBot="1">
      <c r="B17" s="387" t="s">
        <v>1563</v>
      </c>
      <c r="C17" s="1412">
        <f>SUM(C15:C16)</f>
        <v>33385.973651577624</v>
      </c>
      <c r="D17" s="1409"/>
      <c r="E17" s="1410">
        <f>SUM(E15:E16)</f>
        <v>30040.548888945101</v>
      </c>
      <c r="F17" s="30"/>
      <c r="G17" s="30"/>
      <c r="H17" s="14"/>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row>
    <row r="18" spans="2:57" s="24" customFormat="1" ht="12.75" customHeight="1" thickBot="1">
      <c r="B18" s="30"/>
      <c r="C18" s="30"/>
      <c r="D18" s="30"/>
      <c r="E18" s="30"/>
      <c r="F18" s="30"/>
      <c r="G18" s="30"/>
      <c r="H18" s="14"/>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row>
    <row r="19" spans="2:57" ht="15.75" customHeight="1" thickBot="1">
      <c r="B19" s="1879" t="s">
        <v>1694</v>
      </c>
      <c r="C19" s="1717"/>
      <c r="D19" s="1717"/>
      <c r="E19" s="1717"/>
      <c r="F19" s="1717"/>
      <c r="G19" s="1717"/>
      <c r="H19" s="1717"/>
      <c r="I19" s="1717"/>
      <c r="J19" s="167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row>
    <row r="20" spans="2:57" ht="52.9">
      <c r="B20" s="1178" t="s">
        <v>1497</v>
      </c>
      <c r="C20" s="99" t="s">
        <v>1695</v>
      </c>
      <c r="D20" s="83" t="s">
        <v>1693</v>
      </c>
      <c r="E20" s="83" t="s">
        <v>1696</v>
      </c>
      <c r="F20" s="83" t="s">
        <v>1697</v>
      </c>
      <c r="G20" s="83" t="s">
        <v>1698</v>
      </c>
      <c r="H20" s="83" t="s">
        <v>1699</v>
      </c>
      <c r="I20" s="83" t="s">
        <v>1501</v>
      </c>
      <c r="J20" s="1723" t="s">
        <v>1700</v>
      </c>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482"/>
    </row>
    <row r="21" spans="2:57" ht="26.45">
      <c r="B21" s="1470" t="s">
        <v>1701</v>
      </c>
      <c r="C21" s="1329" t="s">
        <v>1702</v>
      </c>
      <c r="D21" s="1330" t="s">
        <v>1703</v>
      </c>
      <c r="E21" s="1330" t="s">
        <v>1704</v>
      </c>
      <c r="F21" s="1330" t="s">
        <v>1705</v>
      </c>
      <c r="G21" s="1330" t="s">
        <v>1706</v>
      </c>
      <c r="H21" s="1330" t="s">
        <v>1707</v>
      </c>
      <c r="I21" s="1330" t="s">
        <v>1708</v>
      </c>
      <c r="J21" s="2094"/>
      <c r="K21" s="86"/>
      <c r="L21" s="15"/>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482"/>
    </row>
    <row r="22" spans="2:57">
      <c r="B22" s="2091" t="s">
        <v>355</v>
      </c>
      <c r="C22" s="1331" t="s">
        <v>1709</v>
      </c>
      <c r="D22" s="1332">
        <f>E17</f>
        <v>30040.548888945101</v>
      </c>
      <c r="E22" s="1333"/>
      <c r="F22" s="1333"/>
      <c r="G22" s="1333"/>
      <c r="H22" s="1333"/>
      <c r="I22" s="1333"/>
      <c r="J22" s="1333"/>
      <c r="K22" s="86"/>
      <c r="L22" s="15"/>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482"/>
    </row>
    <row r="23" spans="2:57">
      <c r="B23" s="2092"/>
      <c r="C23" s="475" t="s">
        <v>1710</v>
      </c>
      <c r="D23" s="790"/>
      <c r="E23" s="784">
        <f>'Waste-Solid Waste Disposal'!F90</f>
        <v>0.21627344677402049</v>
      </c>
      <c r="F23" s="955">
        <v>0.4</v>
      </c>
      <c r="G23" s="955">
        <v>0.38</v>
      </c>
      <c r="H23" s="955">
        <v>0</v>
      </c>
      <c r="I23" s="955">
        <v>1</v>
      </c>
      <c r="J23" s="785">
        <f t="shared" ref="J23:J28" si="0">E23*F23*G23*H23*I23</f>
        <v>0</v>
      </c>
      <c r="K23" s="86"/>
      <c r="L23" s="15"/>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482"/>
    </row>
    <row r="24" spans="2:57">
      <c r="B24" s="2092"/>
      <c r="C24" s="476" t="s">
        <v>175</v>
      </c>
      <c r="D24" s="791"/>
      <c r="E24" s="439">
        <f>'Waste-Solid Waste Disposal'!F91</f>
        <v>7.9803692574325416E-2</v>
      </c>
      <c r="F24" s="956">
        <v>0.4</v>
      </c>
      <c r="G24" s="956">
        <v>0.49</v>
      </c>
      <c r="H24" s="956">
        <v>0</v>
      </c>
      <c r="I24" s="956">
        <v>1</v>
      </c>
      <c r="J24" s="786">
        <f t="shared" si="0"/>
        <v>0</v>
      </c>
      <c r="K24" s="86"/>
      <c r="L24" s="15"/>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482"/>
    </row>
    <row r="25" spans="2:57">
      <c r="B25" s="2092"/>
      <c r="C25" s="476" t="s">
        <v>176</v>
      </c>
      <c r="D25" s="791"/>
      <c r="E25" s="439">
        <f>'Waste-Solid Waste Disposal'!F92</f>
        <v>0.21837617212513694</v>
      </c>
      <c r="F25" s="956">
        <v>0.9</v>
      </c>
      <c r="G25" s="956">
        <v>0.46</v>
      </c>
      <c r="H25" s="956">
        <v>0.01</v>
      </c>
      <c r="I25" s="956">
        <v>1</v>
      </c>
      <c r="J25" s="786">
        <f t="shared" si="0"/>
        <v>9.0407735259806705E-4</v>
      </c>
      <c r="K25" s="86"/>
      <c r="L25" s="15"/>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482"/>
    </row>
    <row r="26" spans="2:57">
      <c r="B26" s="2092"/>
      <c r="C26" s="476" t="s">
        <v>177</v>
      </c>
      <c r="D26" s="791"/>
      <c r="E26" s="439">
        <f>'Waste-Solid Waste Disposal'!F93</f>
        <v>6.3529540184560376E-2</v>
      </c>
      <c r="F26" s="956">
        <v>0.85</v>
      </c>
      <c r="G26" s="956">
        <v>0.5</v>
      </c>
      <c r="H26" s="956">
        <v>0</v>
      </c>
      <c r="I26" s="956">
        <v>1</v>
      </c>
      <c r="J26" s="786">
        <f t="shared" si="0"/>
        <v>0</v>
      </c>
      <c r="K26" s="86"/>
      <c r="L26" s="15"/>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482"/>
    </row>
    <row r="27" spans="2:57">
      <c r="B27" s="2092"/>
      <c r="C27" s="476" t="s">
        <v>178</v>
      </c>
      <c r="D27" s="791"/>
      <c r="E27" s="439">
        <f>'Waste-Solid Waste Disposal'!F94</f>
        <v>5.1584263504596918E-2</v>
      </c>
      <c r="F27" s="956">
        <v>0.8</v>
      </c>
      <c r="G27" s="956">
        <v>0.5</v>
      </c>
      <c r="H27" s="956">
        <v>0.16</v>
      </c>
      <c r="I27" s="956">
        <v>1</v>
      </c>
      <c r="J27" s="786">
        <f t="shared" si="0"/>
        <v>3.3013928642942033E-3</v>
      </c>
      <c r="K27" s="86"/>
      <c r="L27" s="15"/>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482"/>
    </row>
    <row r="28" spans="2:57" ht="13.9" thickBot="1">
      <c r="B28" s="2092"/>
      <c r="C28" s="787" t="s">
        <v>179</v>
      </c>
      <c r="D28" s="792"/>
      <c r="E28" s="788">
        <f>'Waste-Solid Waste Disposal'!F95</f>
        <v>0</v>
      </c>
      <c r="F28" s="957">
        <v>0.9</v>
      </c>
      <c r="G28" s="957">
        <v>0.03</v>
      </c>
      <c r="H28" s="957">
        <v>0.03</v>
      </c>
      <c r="I28" s="957">
        <v>1</v>
      </c>
      <c r="J28" s="789">
        <f t="shared" si="0"/>
        <v>0</v>
      </c>
      <c r="K28" s="86"/>
      <c r="L28" s="15"/>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482"/>
    </row>
    <row r="29" spans="2:57" s="24" customFormat="1" ht="13.9" thickBot="1">
      <c r="B29" s="2093"/>
      <c r="C29" s="2107" t="s">
        <v>1711</v>
      </c>
      <c r="D29" s="2108"/>
      <c r="E29" s="2108"/>
      <c r="F29" s="2108"/>
      <c r="G29" s="2108"/>
      <c r="H29" s="2108"/>
      <c r="I29" s="2108"/>
      <c r="J29" s="370">
        <f>D22*(SUM(J23:J28)*(44/12))</f>
        <v>463.22699005570087</v>
      </c>
      <c r="K29" s="15"/>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row>
    <row r="30" spans="2:57" s="24" customFormat="1" ht="63.75" customHeight="1">
      <c r="B30" s="1886" t="s">
        <v>1712</v>
      </c>
      <c r="C30" s="1887"/>
      <c r="D30" s="1887"/>
      <c r="E30" s="1887"/>
      <c r="F30" s="2100"/>
      <c r="G30" s="368" t="s">
        <v>1713</v>
      </c>
      <c r="H30" s="30"/>
      <c r="I30" s="15"/>
      <c r="J30" s="15"/>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row>
    <row r="31" spans="2:57" s="24" customFormat="1" ht="17.25" customHeight="1" thickBot="1">
      <c r="B31" s="1901" t="s">
        <v>1714</v>
      </c>
      <c r="C31" s="1902"/>
      <c r="D31" s="1902"/>
      <c r="E31" s="1902"/>
      <c r="F31" s="1903"/>
      <c r="G31" s="373" t="s">
        <v>1715</v>
      </c>
      <c r="H31" s="30"/>
      <c r="I31" s="15"/>
      <c r="J31" s="15"/>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row>
    <row r="32" spans="2:57" s="24" customFormat="1">
      <c r="B32" s="30"/>
      <c r="C32" s="30"/>
      <c r="D32" s="15"/>
      <c r="E32" s="1334"/>
      <c r="F32" s="30"/>
      <c r="G32" s="30"/>
      <c r="H32" s="30"/>
      <c r="I32" s="15"/>
      <c r="J32" s="86"/>
      <c r="K32" s="15"/>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row>
    <row r="33" spans="2:11" s="24" customFormat="1" ht="301.5" customHeight="1">
      <c r="B33" s="30"/>
      <c r="C33" s="30"/>
      <c r="D33" s="15"/>
      <c r="E33" s="1334"/>
      <c r="F33" s="30"/>
      <c r="G33" s="30"/>
      <c r="H33" s="30"/>
      <c r="I33" s="15"/>
      <c r="J33" s="86"/>
      <c r="K33" s="15"/>
    </row>
    <row r="34" spans="2:11" s="24" customFormat="1" ht="13.9" thickBot="1">
      <c r="B34" s="30"/>
      <c r="C34" s="30"/>
      <c r="D34" s="15"/>
      <c r="E34" s="1334"/>
      <c r="F34" s="30"/>
      <c r="G34" s="30"/>
      <c r="H34" s="30"/>
      <c r="I34" s="15"/>
      <c r="J34" s="86"/>
      <c r="K34" s="15"/>
    </row>
    <row r="35" spans="2:11" s="24" customFormat="1" ht="15" customHeight="1" thickBot="1">
      <c r="B35" s="1682" t="s">
        <v>1716</v>
      </c>
      <c r="C35" s="1717"/>
      <c r="D35" s="1717"/>
      <c r="E35" s="1717"/>
      <c r="F35" s="1717"/>
      <c r="G35" s="1717"/>
      <c r="H35" s="1670"/>
      <c r="I35" s="15"/>
      <c r="J35" s="86"/>
      <c r="K35" s="15"/>
    </row>
    <row r="36" spans="2:11" s="24" customFormat="1" ht="71.25" customHeight="1">
      <c r="B36" s="1178" t="s">
        <v>1497</v>
      </c>
      <c r="C36" s="99" t="s">
        <v>1695</v>
      </c>
      <c r="D36" s="83" t="s">
        <v>1693</v>
      </c>
      <c r="E36" s="83" t="s">
        <v>1696</v>
      </c>
      <c r="F36" s="83" t="s">
        <v>1717</v>
      </c>
      <c r="G36" s="83" t="s">
        <v>1718</v>
      </c>
      <c r="H36" s="1846" t="s">
        <v>1189</v>
      </c>
      <c r="I36" s="15"/>
      <c r="J36" s="86"/>
      <c r="K36" s="15"/>
    </row>
    <row r="37" spans="2:11" s="24" customFormat="1" ht="26.45">
      <c r="B37" s="1470" t="s">
        <v>1719</v>
      </c>
      <c r="C37" s="1329" t="s">
        <v>1702</v>
      </c>
      <c r="D37" s="1330" t="s">
        <v>1703</v>
      </c>
      <c r="E37" s="1330" t="s">
        <v>1704</v>
      </c>
      <c r="F37" s="1330" t="s">
        <v>1720</v>
      </c>
      <c r="G37" s="1330" t="s">
        <v>1721</v>
      </c>
      <c r="H37" s="2104"/>
      <c r="I37" s="15"/>
      <c r="J37" s="86"/>
      <c r="K37" s="15"/>
    </row>
    <row r="38" spans="2:11" s="24" customFormat="1" ht="12.75" customHeight="1">
      <c r="B38" s="2097" t="s">
        <v>355</v>
      </c>
      <c r="C38" s="1335" t="s">
        <v>1709</v>
      </c>
      <c r="D38" s="1332">
        <f>'Waste-Solid Waste Disposal'!C54*'Waste-Solid Waste Disposal'!E68+'Waste-Solid Waste Disposal'!C55*'Waste-Solid Waste Disposal'!E68</f>
        <v>30040.548888945101</v>
      </c>
      <c r="E38" s="1333"/>
      <c r="F38" s="1333"/>
      <c r="G38" s="1333"/>
      <c r="H38" s="1340"/>
      <c r="I38" s="15"/>
      <c r="J38" s="86"/>
      <c r="K38" s="15"/>
    </row>
    <row r="39" spans="2:11" s="24" customFormat="1">
      <c r="B39" s="2098"/>
      <c r="C39" s="437" t="s">
        <v>1710</v>
      </c>
      <c r="D39" s="1336"/>
      <c r="E39" s="782">
        <f>'Waste-Solid Waste Disposal'!F90</f>
        <v>0.21627344677402049</v>
      </c>
      <c r="F39" s="1337">
        <f>$D$38*E39</f>
        <v>6496.9730511956286</v>
      </c>
      <c r="G39" s="1338">
        <v>0.2</v>
      </c>
      <c r="H39" s="1339">
        <f>(F39*G39)*'Emission Factors'!$D$137</f>
        <v>1.2993946102391257E-3</v>
      </c>
      <c r="I39" s="15"/>
      <c r="J39" s="86"/>
      <c r="K39" s="15"/>
    </row>
    <row r="40" spans="2:11" s="24" customFormat="1">
      <c r="B40" s="2098"/>
      <c r="C40" s="437" t="s">
        <v>175</v>
      </c>
      <c r="D40" s="1336"/>
      <c r="E40" s="782">
        <f>'Waste-Solid Waste Disposal'!F91</f>
        <v>7.9803692574325416E-2</v>
      </c>
      <c r="F40" s="1337">
        <f t="shared" ref="F40:F44" si="1">$D$38*E40</f>
        <v>2397.3467282973679</v>
      </c>
      <c r="G40" s="1338">
        <v>0.2</v>
      </c>
      <c r="H40" s="1339">
        <f>(F40*G40)*'Emission Factors'!$D$137</f>
        <v>4.7946934565947359E-4</v>
      </c>
      <c r="I40" s="15"/>
      <c r="J40" s="86"/>
      <c r="K40" s="15"/>
    </row>
    <row r="41" spans="2:11" s="24" customFormat="1">
      <c r="B41" s="2098"/>
      <c r="C41" s="437" t="s">
        <v>176</v>
      </c>
      <c r="D41" s="1336"/>
      <c r="E41" s="782">
        <f>'Waste-Solid Waste Disposal'!F92</f>
        <v>0.21837617212513694</v>
      </c>
      <c r="F41" s="1337">
        <f t="shared" si="1"/>
        <v>6560.1400749058666</v>
      </c>
      <c r="G41" s="1338">
        <v>0.2</v>
      </c>
      <c r="H41" s="1339">
        <f>(F41*G41)*'Emission Factors'!$D$137</f>
        <v>1.3120280149811732E-3</v>
      </c>
      <c r="I41" s="15"/>
      <c r="J41" s="86"/>
      <c r="K41" s="15"/>
    </row>
    <row r="42" spans="2:11" s="24" customFormat="1">
      <c r="B42" s="2098"/>
      <c r="C42" s="437" t="s">
        <v>177</v>
      </c>
      <c r="D42" s="1336"/>
      <c r="E42" s="782">
        <f>'Waste-Solid Waste Disposal'!F93</f>
        <v>6.3529540184560376E-2</v>
      </c>
      <c r="F42" s="1337">
        <f t="shared" si="1"/>
        <v>1908.4622578064884</v>
      </c>
      <c r="G42" s="1338">
        <v>0.2</v>
      </c>
      <c r="H42" s="1339">
        <f>(F42*G42)*'Emission Factors'!$D$137</f>
        <v>3.8169245156129773E-4</v>
      </c>
      <c r="I42" s="15"/>
      <c r="J42" s="86"/>
      <c r="K42" s="15"/>
    </row>
    <row r="43" spans="2:11" s="24" customFormat="1">
      <c r="B43" s="2098"/>
      <c r="C43" s="437" t="s">
        <v>178</v>
      </c>
      <c r="D43" s="1336"/>
      <c r="E43" s="782">
        <f>'Waste-Solid Waste Disposal'!F94</f>
        <v>5.1584263504596918E-2</v>
      </c>
      <c r="F43" s="1337">
        <f t="shared" si="1"/>
        <v>1549.6195897100702</v>
      </c>
      <c r="G43" s="1338">
        <v>0.2</v>
      </c>
      <c r="H43" s="1339">
        <f>(F43*G43)*'Emission Factors'!$D$137</f>
        <v>3.0992391794201405E-4</v>
      </c>
      <c r="I43" s="15"/>
      <c r="J43" s="86"/>
      <c r="K43" s="15"/>
    </row>
    <row r="44" spans="2:11" s="24" customFormat="1">
      <c r="B44" s="2098"/>
      <c r="C44" s="437" t="s">
        <v>179</v>
      </c>
      <c r="D44" s="1336"/>
      <c r="E44" s="782">
        <f>'Waste-Solid Waste Disposal'!F95</f>
        <v>0</v>
      </c>
      <c r="F44" s="1337">
        <f t="shared" si="1"/>
        <v>0</v>
      </c>
      <c r="G44" s="1338">
        <v>0.2</v>
      </c>
      <c r="H44" s="1339">
        <f>(F44*G44)*'Emission Factors'!$D$137</f>
        <v>0</v>
      </c>
      <c r="I44" s="15"/>
      <c r="J44" s="86"/>
      <c r="K44" s="15"/>
    </row>
    <row r="45" spans="2:11" s="24" customFormat="1" ht="13.9" thickBot="1">
      <c r="B45" s="2099"/>
      <c r="C45" s="2105" t="s">
        <v>1722</v>
      </c>
      <c r="D45" s="2106"/>
      <c r="E45" s="2106"/>
      <c r="F45" s="2106"/>
      <c r="G45" s="2106"/>
      <c r="H45" s="1508">
        <f>SUM(H39:H44)</f>
        <v>3.7825083403830845E-3</v>
      </c>
      <c r="I45" s="15"/>
      <c r="J45" s="86"/>
      <c r="K45" s="15"/>
    </row>
    <row r="46" spans="2:11" s="24" customFormat="1" ht="19.149999999999999" customHeight="1" thickBot="1">
      <c r="B46" s="1912" t="s">
        <v>1723</v>
      </c>
      <c r="C46" s="2095"/>
      <c r="D46" s="2095"/>
      <c r="E46" s="2095"/>
      <c r="F46" s="2096"/>
      <c r="G46" s="1509" t="s">
        <v>1724</v>
      </c>
      <c r="H46" s="1507"/>
      <c r="I46" s="15"/>
      <c r="J46" s="86"/>
      <c r="K46" s="15"/>
    </row>
    <row r="47" spans="2:11" s="24" customFormat="1">
      <c r="B47" s="30"/>
      <c r="C47" s="30"/>
      <c r="D47" s="15"/>
      <c r="E47" s="30"/>
      <c r="F47" s="30"/>
      <c r="G47" s="30"/>
      <c r="H47" s="30"/>
      <c r="I47" s="15"/>
      <c r="J47" s="86"/>
      <c r="K47" s="15"/>
    </row>
    <row r="48" spans="2:11" s="24" customFormat="1" ht="229.5" customHeight="1">
      <c r="B48" s="30"/>
      <c r="C48" s="30"/>
      <c r="D48" s="15"/>
      <c r="E48" s="30"/>
      <c r="F48" s="30"/>
      <c r="G48" s="30"/>
      <c r="H48" s="30"/>
      <c r="I48" s="15"/>
      <c r="J48" s="86"/>
      <c r="K48" s="15"/>
    </row>
    <row r="49" spans="2:14" s="24" customFormat="1" ht="12.75" customHeight="1" thickBot="1">
      <c r="B49" s="30"/>
      <c r="C49" s="30"/>
      <c r="D49" s="15"/>
      <c r="E49" s="30"/>
      <c r="F49" s="30"/>
      <c r="G49" s="30"/>
      <c r="H49" s="30"/>
      <c r="I49" s="15"/>
      <c r="J49" s="86"/>
      <c r="K49" s="15"/>
      <c r="L49" s="30"/>
      <c r="M49" s="30"/>
      <c r="N49" s="30"/>
    </row>
    <row r="50" spans="2:14" s="24" customFormat="1" ht="15" customHeight="1" thickBot="1">
      <c r="B50" s="1682" t="s">
        <v>1725</v>
      </c>
      <c r="C50" s="1717"/>
      <c r="D50" s="1717"/>
      <c r="E50" s="1717"/>
      <c r="F50" s="1717"/>
      <c r="G50" s="1717"/>
      <c r="H50" s="1670"/>
      <c r="I50" s="30"/>
      <c r="J50" s="15"/>
      <c r="K50" s="86"/>
      <c r="L50" s="15"/>
      <c r="M50" s="30"/>
      <c r="N50" s="30"/>
    </row>
    <row r="51" spans="2:14" s="24" customFormat="1" ht="81.75" customHeight="1">
      <c r="B51" s="1178" t="s">
        <v>1497</v>
      </c>
      <c r="C51" s="99" t="s">
        <v>1695</v>
      </c>
      <c r="D51" s="83" t="s">
        <v>1693</v>
      </c>
      <c r="E51" s="83" t="s">
        <v>1696</v>
      </c>
      <c r="F51" s="83" t="s">
        <v>1717</v>
      </c>
      <c r="G51" s="83" t="s">
        <v>1726</v>
      </c>
      <c r="H51" s="1846" t="s">
        <v>1727</v>
      </c>
      <c r="I51" s="30"/>
      <c r="J51" s="15"/>
      <c r="K51" s="86"/>
      <c r="L51" s="15"/>
      <c r="M51" s="30"/>
      <c r="N51" s="30"/>
    </row>
    <row r="52" spans="2:14" s="24" customFormat="1" ht="26.45">
      <c r="B52" s="1470" t="s">
        <v>1728</v>
      </c>
      <c r="C52" s="1329" t="s">
        <v>1702</v>
      </c>
      <c r="D52" s="1330" t="s">
        <v>1703</v>
      </c>
      <c r="E52" s="1330" t="s">
        <v>1704</v>
      </c>
      <c r="F52" s="1330" t="s">
        <v>1720</v>
      </c>
      <c r="G52" s="1330" t="s">
        <v>1721</v>
      </c>
      <c r="H52" s="2104"/>
      <c r="I52" s="30"/>
      <c r="J52" s="30"/>
      <c r="K52" s="30"/>
      <c r="L52" s="15"/>
      <c r="M52" s="86"/>
      <c r="N52" s="15"/>
    </row>
    <row r="53" spans="2:14" s="24" customFormat="1">
      <c r="B53" s="2101" t="s">
        <v>355</v>
      </c>
      <c r="C53" s="1331" t="s">
        <v>1709</v>
      </c>
      <c r="D53" s="1332">
        <f>'Waste-Solid Waste Disposal'!C54*'Waste-Solid Waste Disposal'!E68+'Waste-Solid Waste Disposal'!C55*'Waste-Solid Waste Disposal'!E68</f>
        <v>30040.548888945101</v>
      </c>
      <c r="E53" s="1333"/>
      <c r="F53" s="1333"/>
      <c r="G53" s="1333"/>
      <c r="H53" s="1340"/>
      <c r="I53" s="30"/>
      <c r="J53" s="30"/>
      <c r="K53" s="30"/>
      <c r="L53" s="15"/>
      <c r="M53" s="86"/>
      <c r="N53" s="15"/>
    </row>
    <row r="54" spans="2:14" s="24" customFormat="1">
      <c r="B54" s="2102"/>
      <c r="C54" s="1341" t="s">
        <v>1710</v>
      </c>
      <c r="D54" s="1336"/>
      <c r="E54" s="782">
        <f>'Waste-Solid Waste Disposal'!F90</f>
        <v>0.21627344677402049</v>
      </c>
      <c r="F54" s="1337">
        <f t="shared" ref="F54:F59" si="2">$D$53*E54</f>
        <v>6496.9730511956286</v>
      </c>
      <c r="G54" s="1337">
        <v>50</v>
      </c>
      <c r="H54" s="1339">
        <f>(F54*G54)*'Emission Factors'!$D$137</f>
        <v>0.32484865255978146</v>
      </c>
      <c r="I54" s="1301"/>
      <c r="J54" s="30"/>
      <c r="K54" s="30"/>
      <c r="L54" s="15"/>
      <c r="M54" s="86"/>
      <c r="N54" s="15"/>
    </row>
    <row r="55" spans="2:14" s="24" customFormat="1">
      <c r="B55" s="2102"/>
      <c r="C55" s="1341" t="s">
        <v>175</v>
      </c>
      <c r="D55" s="1336"/>
      <c r="E55" s="782">
        <f>'Waste-Solid Waste Disposal'!F91</f>
        <v>7.9803692574325416E-2</v>
      </c>
      <c r="F55" s="1337">
        <f t="shared" si="2"/>
        <v>2397.3467282973679</v>
      </c>
      <c r="G55" s="1337">
        <v>50</v>
      </c>
      <c r="H55" s="1339">
        <f>(F55*G55)*'Emission Factors'!$D$137</f>
        <v>0.11986733641486838</v>
      </c>
      <c r="I55" s="1301"/>
      <c r="J55" s="30"/>
      <c r="K55" s="30"/>
      <c r="L55" s="15"/>
      <c r="M55" s="86"/>
      <c r="N55" s="15"/>
    </row>
    <row r="56" spans="2:14" s="24" customFormat="1">
      <c r="B56" s="2102"/>
      <c r="C56" s="1341" t="s">
        <v>176</v>
      </c>
      <c r="D56" s="1336"/>
      <c r="E56" s="782">
        <f>'Waste-Solid Waste Disposal'!F92</f>
        <v>0.21837617212513694</v>
      </c>
      <c r="F56" s="1337">
        <f t="shared" si="2"/>
        <v>6560.1400749058666</v>
      </c>
      <c r="G56" s="1337">
        <v>50</v>
      </c>
      <c r="H56" s="1339">
        <f>(F56*G56)*'Emission Factors'!$D$137</f>
        <v>0.32800700374529335</v>
      </c>
      <c r="I56" s="1301"/>
      <c r="J56" s="30"/>
      <c r="K56" s="30"/>
      <c r="L56" s="15"/>
      <c r="M56" s="86"/>
      <c r="N56" s="15"/>
    </row>
    <row r="57" spans="2:14" s="24" customFormat="1">
      <c r="B57" s="2102"/>
      <c r="C57" s="1341" t="s">
        <v>177</v>
      </c>
      <c r="D57" s="1336"/>
      <c r="E57" s="782">
        <f>'Waste-Solid Waste Disposal'!F93</f>
        <v>6.3529540184560376E-2</v>
      </c>
      <c r="F57" s="1337">
        <f t="shared" si="2"/>
        <v>1908.4622578064884</v>
      </c>
      <c r="G57" s="1337">
        <v>50</v>
      </c>
      <c r="H57" s="1339">
        <f>(F57*G57)*'Emission Factors'!$D$137</f>
        <v>9.5423112890324416E-2</v>
      </c>
      <c r="I57" s="1301"/>
      <c r="J57" s="30"/>
      <c r="K57" s="30"/>
      <c r="L57" s="15"/>
      <c r="M57" s="86"/>
      <c r="N57" s="15"/>
    </row>
    <row r="58" spans="2:14" s="24" customFormat="1">
      <c r="B58" s="2102"/>
      <c r="C58" s="1341" t="s">
        <v>178</v>
      </c>
      <c r="D58" s="1336"/>
      <c r="E58" s="782">
        <f>'Waste-Solid Waste Disposal'!F94</f>
        <v>5.1584263504596918E-2</v>
      </c>
      <c r="F58" s="1337">
        <f t="shared" si="2"/>
        <v>1549.6195897100702</v>
      </c>
      <c r="G58" s="1337">
        <v>50</v>
      </c>
      <c r="H58" s="1339">
        <f>(F58*G58)*'Emission Factors'!$D$137</f>
        <v>7.7480979485503504E-2</v>
      </c>
      <c r="I58" s="1301"/>
      <c r="J58" s="30"/>
      <c r="K58" s="30"/>
      <c r="L58" s="15"/>
      <c r="M58" s="86"/>
      <c r="N58" s="15"/>
    </row>
    <row r="59" spans="2:14" s="24" customFormat="1">
      <c r="B59" s="2102"/>
      <c r="C59" s="1341" t="s">
        <v>179</v>
      </c>
      <c r="D59" s="1336"/>
      <c r="E59" s="782">
        <f>'Waste-Solid Waste Disposal'!F95</f>
        <v>0</v>
      </c>
      <c r="F59" s="1337">
        <f t="shared" si="2"/>
        <v>0</v>
      </c>
      <c r="G59" s="1337">
        <v>50</v>
      </c>
      <c r="H59" s="1339">
        <f>(F59*G59)*'Emission Factors'!$D$137</f>
        <v>0</v>
      </c>
      <c r="I59" s="1301"/>
      <c r="J59" s="30"/>
      <c r="K59" s="30"/>
      <c r="L59" s="15"/>
      <c r="M59" s="86"/>
      <c r="N59" s="15"/>
    </row>
    <row r="60" spans="2:14" s="24" customFormat="1" ht="13.9" thickBot="1">
      <c r="B60" s="2103"/>
      <c r="C60" s="2109" t="s">
        <v>1729</v>
      </c>
      <c r="D60" s="2106"/>
      <c r="E60" s="2106"/>
      <c r="F60" s="2106"/>
      <c r="G60" s="2106"/>
      <c r="H60" s="1395">
        <f>SUM(H54:H59)</f>
        <v>0.94562708509577109</v>
      </c>
      <c r="I60" s="1301"/>
      <c r="J60" s="30"/>
      <c r="K60" s="30"/>
      <c r="L60" s="15"/>
      <c r="M60" s="86"/>
      <c r="N60" s="15"/>
    </row>
    <row r="61" spans="2:14" s="24" customFormat="1" ht="28.5" customHeight="1" thickBot="1">
      <c r="B61" s="1912" t="s">
        <v>1730</v>
      </c>
      <c r="C61" s="2095"/>
      <c r="D61" s="2095"/>
      <c r="E61" s="2095"/>
      <c r="F61" s="2096"/>
      <c r="G61" s="373" t="s">
        <v>1731</v>
      </c>
      <c r="H61" s="30"/>
      <c r="I61" s="30"/>
      <c r="J61" s="30"/>
      <c r="K61" s="30"/>
      <c r="L61" s="15"/>
      <c r="M61" s="86"/>
      <c r="N61" s="15"/>
    </row>
    <row r="62" spans="2:14" s="24" customFormat="1">
      <c r="B62" s="30"/>
      <c r="C62" s="30"/>
      <c r="D62" s="30"/>
      <c r="E62" s="30"/>
      <c r="F62" s="30"/>
      <c r="G62" s="30"/>
      <c r="H62" s="30"/>
      <c r="I62" s="30"/>
      <c r="J62" s="30"/>
      <c r="K62" s="30"/>
      <c r="L62" s="15"/>
      <c r="M62" s="86"/>
      <c r="N62" s="15"/>
    </row>
    <row r="63" spans="2:14" s="24" customFormat="1" ht="247.5" customHeight="1">
      <c r="B63" s="30"/>
      <c r="C63" s="30"/>
      <c r="D63" s="30"/>
      <c r="E63" s="30"/>
      <c r="F63" s="15"/>
      <c r="G63" s="30"/>
      <c r="H63" s="30"/>
      <c r="I63" s="30"/>
      <c r="J63" s="30"/>
      <c r="K63" s="15"/>
      <c r="L63" s="86"/>
      <c r="M63" s="15"/>
      <c r="N63" s="30"/>
    </row>
    <row r="64" spans="2:14" s="24" customFormat="1" ht="12.75" customHeight="1">
      <c r="B64" s="30"/>
      <c r="C64" s="30"/>
      <c r="D64" s="30"/>
      <c r="E64" s="30"/>
      <c r="F64" s="30"/>
      <c r="G64" s="30"/>
      <c r="H64" s="30"/>
      <c r="I64" s="30"/>
      <c r="J64" s="15"/>
      <c r="K64" s="86"/>
      <c r="L64" s="15"/>
      <c r="M64" s="30"/>
      <c r="N64" s="30"/>
    </row>
    <row r="65" spans="1:41" s="24" customFormat="1">
      <c r="A65" s="30"/>
      <c r="B65" s="30"/>
      <c r="C65" s="30"/>
      <c r="D65" s="30"/>
      <c r="E65" s="30"/>
      <c r="F65" s="30"/>
      <c r="G65" s="30"/>
      <c r="H65" s="30"/>
      <c r="I65" s="15"/>
      <c r="J65" s="86"/>
      <c r="K65" s="15"/>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row>
    <row r="66" spans="1:41" s="24" customFormat="1" ht="12.75" customHeight="1">
      <c r="A66" s="30"/>
      <c r="B66" s="30"/>
      <c r="C66" s="30"/>
      <c r="D66" s="30"/>
      <c r="E66" s="30"/>
      <c r="F66" s="30"/>
      <c r="G66" s="30"/>
      <c r="H66" s="30"/>
      <c r="I66" s="15"/>
      <c r="J66" s="86"/>
      <c r="K66" s="15"/>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row>
    <row r="67" spans="1:41" s="24" customFormat="1" ht="12.75" customHeight="1">
      <c r="A67" s="30"/>
      <c r="B67" s="30"/>
      <c r="C67" s="30"/>
      <c r="D67" s="30"/>
      <c r="E67" s="30"/>
      <c r="F67" s="30"/>
      <c r="G67" s="30"/>
      <c r="H67" s="30"/>
      <c r="I67" s="15"/>
      <c r="J67" s="86"/>
      <c r="K67" s="15"/>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row>
    <row r="68" spans="1:41" s="24" customFormat="1" ht="12.75" customHeight="1">
      <c r="A68" s="30"/>
      <c r="B68" s="30"/>
      <c r="C68" s="30"/>
      <c r="D68" s="30"/>
      <c r="E68" s="30"/>
      <c r="F68" s="30"/>
      <c r="G68" s="30"/>
      <c r="H68" s="30"/>
      <c r="I68" s="15"/>
      <c r="J68" s="1324"/>
      <c r="K68" s="15"/>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row>
    <row r="69" spans="1:41" s="24" customFormat="1" ht="12.75" customHeight="1">
      <c r="A69" s="30"/>
      <c r="B69" s="30"/>
      <c r="C69" s="30"/>
      <c r="D69" s="30"/>
      <c r="E69" s="30"/>
      <c r="F69" s="30"/>
      <c r="G69" s="30"/>
      <c r="H69" s="30"/>
      <c r="I69" s="15"/>
      <c r="J69" s="1324"/>
      <c r="K69" s="15"/>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row>
    <row r="70" spans="1:41" s="24" customFormat="1" ht="12.75" customHeight="1">
      <c r="A70" s="30"/>
      <c r="B70" s="30"/>
      <c r="C70" s="30"/>
      <c r="D70" s="30"/>
      <c r="E70" s="30"/>
      <c r="F70" s="30"/>
      <c r="G70" s="30"/>
      <c r="H70" s="30"/>
      <c r="I70" s="15"/>
      <c r="J70" s="86"/>
      <c r="K70" s="15"/>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row>
    <row r="71" spans="1:41" s="24" customFormat="1">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c r="AA71" s="482"/>
      <c r="AB71" s="482"/>
      <c r="AC71" s="482"/>
      <c r="AD71" s="482"/>
      <c r="AE71" s="482"/>
      <c r="AF71" s="482"/>
      <c r="AG71" s="482"/>
      <c r="AH71" s="482"/>
      <c r="AI71" s="482"/>
      <c r="AJ71" s="482"/>
      <c r="AK71" s="482"/>
      <c r="AL71" s="482"/>
      <c r="AM71" s="482"/>
      <c r="AN71" s="482"/>
      <c r="AO71" s="482"/>
    </row>
    <row r="72" spans="1:41" s="24" customFormat="1">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c r="AA72" s="482"/>
      <c r="AB72" s="482"/>
      <c r="AC72" s="482"/>
      <c r="AD72" s="482"/>
      <c r="AE72" s="482"/>
      <c r="AF72" s="482"/>
      <c r="AG72" s="482"/>
      <c r="AH72" s="482"/>
      <c r="AI72" s="482"/>
      <c r="AJ72" s="482"/>
      <c r="AK72" s="482"/>
      <c r="AL72" s="482"/>
      <c r="AM72" s="482"/>
      <c r="AN72" s="482"/>
      <c r="AO72" s="482"/>
    </row>
    <row r="73" spans="1:41" s="24" customForma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482"/>
      <c r="AB73" s="482"/>
      <c r="AC73" s="482"/>
      <c r="AD73" s="482"/>
      <c r="AE73" s="482"/>
      <c r="AF73" s="482"/>
      <c r="AG73" s="482"/>
      <c r="AH73" s="482"/>
      <c r="AI73" s="482"/>
      <c r="AJ73" s="482"/>
      <c r="AK73" s="482"/>
      <c r="AL73" s="482"/>
      <c r="AM73" s="482"/>
      <c r="AN73" s="482"/>
      <c r="AO73" s="482"/>
    </row>
    <row r="74" spans="1:41" s="24" customFormat="1">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c r="AA74" s="482"/>
      <c r="AB74" s="482"/>
      <c r="AC74" s="482"/>
      <c r="AD74" s="482"/>
      <c r="AE74" s="482"/>
      <c r="AF74" s="482"/>
      <c r="AG74" s="482"/>
      <c r="AH74" s="482"/>
      <c r="AI74" s="482"/>
      <c r="AJ74" s="482"/>
      <c r="AK74" s="482"/>
      <c r="AL74" s="482"/>
      <c r="AM74" s="482"/>
      <c r="AN74" s="482"/>
      <c r="AO74" s="482"/>
    </row>
    <row r="75" spans="1:41" s="24" customFormat="1">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c r="AA75" s="482"/>
      <c r="AB75" s="482"/>
      <c r="AC75" s="482"/>
      <c r="AD75" s="482"/>
      <c r="AE75" s="482"/>
      <c r="AF75" s="482"/>
      <c r="AG75" s="482"/>
      <c r="AH75" s="482"/>
      <c r="AI75" s="482"/>
      <c r="AJ75" s="482"/>
      <c r="AK75" s="482"/>
      <c r="AL75" s="482"/>
      <c r="AM75" s="482"/>
      <c r="AN75" s="482"/>
      <c r="AO75" s="482"/>
    </row>
    <row r="76" spans="1:41" s="24" customFormat="1">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c r="AA76" s="482"/>
      <c r="AB76" s="482"/>
      <c r="AC76" s="482"/>
      <c r="AD76" s="482"/>
      <c r="AE76" s="482"/>
      <c r="AF76" s="482"/>
      <c r="AG76" s="482"/>
      <c r="AH76" s="482"/>
      <c r="AI76" s="482"/>
      <c r="AJ76" s="482"/>
      <c r="AK76" s="482"/>
      <c r="AL76" s="482"/>
      <c r="AM76" s="482"/>
      <c r="AN76" s="482"/>
      <c r="AO76" s="482"/>
    </row>
    <row r="77" spans="1:41" s="24" customFormat="1">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482"/>
      <c r="AB77" s="482"/>
      <c r="AC77" s="482"/>
      <c r="AD77" s="482"/>
      <c r="AE77" s="482"/>
      <c r="AF77" s="482"/>
      <c r="AG77" s="482"/>
      <c r="AH77" s="482"/>
      <c r="AI77" s="482"/>
      <c r="AJ77" s="482"/>
      <c r="AK77" s="482"/>
      <c r="AL77" s="482"/>
      <c r="AM77" s="482"/>
      <c r="AN77" s="482"/>
      <c r="AO77" s="482"/>
    </row>
    <row r="78" spans="1:41" s="24" customFormat="1">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c r="AA78" s="482"/>
      <c r="AB78" s="482"/>
      <c r="AC78" s="482"/>
      <c r="AD78" s="482"/>
      <c r="AE78" s="482"/>
      <c r="AF78" s="482"/>
      <c r="AG78" s="482"/>
      <c r="AH78" s="482"/>
      <c r="AI78" s="482"/>
      <c r="AJ78" s="482"/>
      <c r="AK78" s="482"/>
      <c r="AL78" s="482"/>
      <c r="AM78" s="482"/>
      <c r="AN78" s="482"/>
      <c r="AO78" s="482"/>
    </row>
    <row r="79" spans="1:41" s="24" customFormat="1">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482"/>
      <c r="AB79" s="482"/>
      <c r="AC79" s="482"/>
      <c r="AD79" s="482"/>
      <c r="AE79" s="482"/>
      <c r="AF79" s="482"/>
      <c r="AG79" s="482"/>
      <c r="AH79" s="482"/>
      <c r="AI79" s="482"/>
      <c r="AJ79" s="482"/>
      <c r="AK79" s="482"/>
      <c r="AL79" s="482"/>
      <c r="AM79" s="482"/>
      <c r="AN79" s="482"/>
      <c r="AO79" s="482"/>
    </row>
    <row r="80" spans="1:41" s="24" customForma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482"/>
      <c r="AB80" s="482"/>
      <c r="AC80" s="482"/>
      <c r="AD80" s="482"/>
      <c r="AE80" s="482"/>
      <c r="AF80" s="482"/>
      <c r="AG80" s="482"/>
      <c r="AH80" s="482"/>
      <c r="AI80" s="482"/>
      <c r="AJ80" s="482"/>
      <c r="AK80" s="482"/>
      <c r="AL80" s="482"/>
      <c r="AM80" s="482"/>
      <c r="AN80" s="482"/>
      <c r="AO80" s="482"/>
    </row>
    <row r="81" spans="1:41" s="24" customFormat="1">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c r="AA81" s="482"/>
      <c r="AB81" s="482"/>
      <c r="AC81" s="482"/>
      <c r="AD81" s="482"/>
      <c r="AE81" s="482"/>
      <c r="AF81" s="482"/>
      <c r="AG81" s="482"/>
      <c r="AH81" s="482"/>
      <c r="AI81" s="482"/>
      <c r="AJ81" s="482"/>
      <c r="AK81" s="482"/>
      <c r="AL81" s="482"/>
      <c r="AM81" s="482"/>
      <c r="AN81" s="482"/>
      <c r="AO81" s="482"/>
    </row>
    <row r="82" spans="1:41" s="24" customFormat="1">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482"/>
      <c r="AA82" s="482"/>
      <c r="AB82" s="482"/>
      <c r="AC82" s="482"/>
      <c r="AD82" s="482"/>
      <c r="AE82" s="482"/>
      <c r="AF82" s="482"/>
      <c r="AG82" s="482"/>
      <c r="AH82" s="482"/>
      <c r="AI82" s="482"/>
      <c r="AJ82" s="482"/>
      <c r="AK82" s="482"/>
      <c r="AL82" s="482"/>
      <c r="AM82" s="482"/>
      <c r="AN82" s="482"/>
      <c r="AO82" s="30"/>
    </row>
    <row r="83" spans="1:41" s="24" customFormat="1">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482"/>
      <c r="AA83" s="482"/>
      <c r="AB83" s="482"/>
      <c r="AC83" s="482"/>
      <c r="AD83" s="482"/>
      <c r="AE83" s="482"/>
      <c r="AF83" s="482"/>
      <c r="AG83" s="482"/>
      <c r="AH83" s="482"/>
      <c r="AI83" s="482"/>
      <c r="AJ83" s="482"/>
      <c r="AK83" s="482"/>
      <c r="AL83" s="482"/>
      <c r="AM83" s="482"/>
      <c r="AN83" s="482"/>
      <c r="AO83" s="30"/>
    </row>
    <row r="84" spans="1:41" s="24" customFormat="1" ht="13.9">
      <c r="A84" s="30"/>
      <c r="B84" s="30"/>
      <c r="C84" s="30"/>
      <c r="D84" s="30"/>
      <c r="E84" s="30"/>
      <c r="F84" s="30"/>
      <c r="G84" s="30"/>
      <c r="H84" s="30"/>
      <c r="I84" s="30"/>
      <c r="J84" s="30"/>
      <c r="K84" s="30"/>
      <c r="L84" s="30"/>
      <c r="M84" s="30"/>
      <c r="N84" s="13"/>
      <c r="O84" s="30"/>
      <c r="P84" s="30"/>
      <c r="Q84" s="30"/>
      <c r="R84" s="30"/>
      <c r="S84" s="30"/>
      <c r="T84" s="13"/>
      <c r="U84" s="30"/>
      <c r="V84" s="30"/>
      <c r="W84" s="30"/>
      <c r="X84" s="30"/>
      <c r="Y84" s="30"/>
      <c r="Z84" s="482"/>
      <c r="AA84" s="482"/>
      <c r="AB84" s="482"/>
      <c r="AC84" s="482"/>
      <c r="AD84" s="482"/>
      <c r="AE84" s="482"/>
      <c r="AF84" s="482"/>
      <c r="AG84" s="482"/>
      <c r="AH84" s="482"/>
      <c r="AI84" s="482"/>
      <c r="AJ84" s="482"/>
      <c r="AK84" s="482"/>
      <c r="AL84" s="482"/>
      <c r="AM84" s="482"/>
      <c r="AN84" s="482"/>
      <c r="AO84" s="30"/>
    </row>
    <row r="85" spans="1:41" s="24" customFormat="1" ht="13.9">
      <c r="A85" s="30"/>
      <c r="B85" s="13"/>
      <c r="C85" s="13"/>
      <c r="D85" s="13"/>
      <c r="E85" s="13"/>
      <c r="F85" s="13"/>
      <c r="G85" s="13"/>
      <c r="H85" s="30"/>
      <c r="I85" s="30"/>
      <c r="J85" s="30"/>
      <c r="K85" s="30"/>
      <c r="L85" s="30"/>
      <c r="M85" s="30"/>
      <c r="N85" s="30"/>
      <c r="O85" s="30"/>
      <c r="P85" s="30"/>
      <c r="Q85" s="30"/>
      <c r="R85" s="30"/>
      <c r="S85" s="30"/>
      <c r="T85" s="30"/>
      <c r="U85" s="30"/>
      <c r="V85" s="30"/>
      <c r="W85" s="30"/>
      <c r="X85" s="30"/>
      <c r="Y85" s="30"/>
      <c r="Z85" s="482"/>
      <c r="AA85" s="482"/>
      <c r="AB85" s="482"/>
      <c r="AC85" s="482"/>
      <c r="AD85" s="482"/>
      <c r="AE85" s="482"/>
      <c r="AF85" s="482"/>
      <c r="AG85" s="482"/>
      <c r="AH85" s="482"/>
      <c r="AI85" s="482"/>
      <c r="AJ85" s="482"/>
      <c r="AK85" s="482"/>
      <c r="AL85" s="482"/>
      <c r="AM85" s="482"/>
      <c r="AN85" s="482"/>
      <c r="AO85" s="30"/>
    </row>
    <row r="86" spans="1:41" s="24" customFormat="1">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482"/>
      <c r="AA86" s="482"/>
      <c r="AB86" s="482"/>
      <c r="AC86" s="482"/>
      <c r="AD86" s="482"/>
      <c r="AE86" s="482"/>
      <c r="AF86" s="482"/>
      <c r="AG86" s="482"/>
      <c r="AH86" s="482"/>
      <c r="AI86" s="482"/>
      <c r="AJ86" s="482"/>
      <c r="AK86" s="482"/>
      <c r="AL86" s="482"/>
      <c r="AM86" s="482"/>
      <c r="AN86" s="482"/>
      <c r="AO86" s="30"/>
    </row>
    <row r="87" spans="1:41" s="24" customFormat="1">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482"/>
      <c r="AA87" s="482"/>
      <c r="AB87" s="482"/>
      <c r="AC87" s="482"/>
      <c r="AD87" s="482"/>
      <c r="AE87" s="482"/>
      <c r="AF87" s="482"/>
      <c r="AG87" s="482"/>
      <c r="AH87" s="482"/>
      <c r="AI87" s="482"/>
      <c r="AJ87" s="482"/>
      <c r="AK87" s="482"/>
      <c r="AL87" s="482"/>
      <c r="AM87" s="482"/>
      <c r="AN87" s="482"/>
      <c r="AO87" s="30"/>
    </row>
    <row r="88" spans="1:41" s="24" customFormat="1">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482"/>
      <c r="AA88" s="482"/>
      <c r="AB88" s="482"/>
      <c r="AC88" s="482"/>
      <c r="AD88" s="482"/>
      <c r="AE88" s="482"/>
      <c r="AF88" s="482"/>
      <c r="AG88" s="482"/>
      <c r="AH88" s="482"/>
      <c r="AI88" s="482"/>
      <c r="AJ88" s="482"/>
      <c r="AK88" s="482"/>
      <c r="AL88" s="482"/>
      <c r="AM88" s="482"/>
      <c r="AN88" s="482"/>
      <c r="AO88" s="30"/>
    </row>
    <row r="89" spans="1:41" s="24" customFormat="1">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482"/>
      <c r="AA89" s="482"/>
      <c r="AB89" s="482"/>
      <c r="AC89" s="482"/>
      <c r="AD89" s="482"/>
      <c r="AE89" s="482"/>
      <c r="AF89" s="482"/>
      <c r="AG89" s="482"/>
      <c r="AH89" s="482"/>
      <c r="AI89" s="482"/>
      <c r="AJ89" s="482"/>
      <c r="AK89" s="482"/>
      <c r="AL89" s="482"/>
      <c r="AM89" s="482"/>
      <c r="AN89" s="482"/>
      <c r="AO89" s="30"/>
    </row>
    <row r="90" spans="1:41" s="24" customFormat="1">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482"/>
      <c r="AA90" s="482"/>
      <c r="AB90" s="482"/>
      <c r="AC90" s="482"/>
      <c r="AD90" s="482"/>
      <c r="AE90" s="482"/>
      <c r="AF90" s="482"/>
      <c r="AG90" s="482"/>
      <c r="AH90" s="482"/>
      <c r="AI90" s="482"/>
      <c r="AJ90" s="482"/>
      <c r="AK90" s="482"/>
      <c r="AL90" s="482"/>
      <c r="AM90" s="482"/>
      <c r="AN90" s="482"/>
      <c r="AO90" s="30"/>
    </row>
    <row r="91" spans="1:41" s="24" customFormat="1">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482"/>
      <c r="AA91" s="482"/>
      <c r="AB91" s="482"/>
      <c r="AC91" s="482"/>
      <c r="AD91" s="482"/>
      <c r="AE91" s="482"/>
      <c r="AF91" s="482"/>
      <c r="AG91" s="482"/>
      <c r="AH91" s="482"/>
      <c r="AI91" s="482"/>
      <c r="AJ91" s="482"/>
      <c r="AK91" s="482"/>
      <c r="AL91" s="482"/>
      <c r="AM91" s="482"/>
      <c r="AN91" s="482"/>
      <c r="AO91" s="30"/>
    </row>
    <row r="92" spans="1:41" s="24" customFormat="1">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482"/>
      <c r="AA92" s="482"/>
      <c r="AB92" s="482"/>
      <c r="AC92" s="482"/>
      <c r="AD92" s="482"/>
      <c r="AE92" s="482"/>
      <c r="AF92" s="482"/>
      <c r="AG92" s="482"/>
      <c r="AH92" s="482"/>
      <c r="AI92" s="482"/>
      <c r="AJ92" s="482"/>
      <c r="AK92" s="482"/>
      <c r="AL92" s="482"/>
      <c r="AM92" s="482"/>
      <c r="AN92" s="482"/>
      <c r="AO92" s="30"/>
    </row>
    <row r="93" spans="1:41" s="24" customFormat="1">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482"/>
      <c r="AA93" s="482"/>
      <c r="AB93" s="482"/>
      <c r="AC93" s="482"/>
      <c r="AD93" s="482"/>
      <c r="AE93" s="482"/>
      <c r="AF93" s="482"/>
      <c r="AG93" s="482"/>
      <c r="AH93" s="482"/>
      <c r="AI93" s="482"/>
      <c r="AJ93" s="482"/>
      <c r="AK93" s="482"/>
      <c r="AL93" s="482"/>
      <c r="AM93" s="482"/>
      <c r="AN93" s="482"/>
      <c r="AO93" s="30"/>
    </row>
    <row r="94" spans="1:41" s="24" customFormat="1">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482"/>
      <c r="AA94" s="482"/>
      <c r="AB94" s="482"/>
      <c r="AC94" s="482"/>
      <c r="AD94" s="482"/>
      <c r="AE94" s="482"/>
      <c r="AF94" s="482"/>
      <c r="AG94" s="482"/>
      <c r="AH94" s="482"/>
      <c r="AI94" s="482"/>
      <c r="AJ94" s="482"/>
      <c r="AK94" s="482"/>
      <c r="AL94" s="482"/>
      <c r="AM94" s="482"/>
      <c r="AN94" s="482"/>
      <c r="AO94" s="30"/>
    </row>
    <row r="95" spans="1:41" s="24" customFormat="1">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482"/>
      <c r="AA95" s="482"/>
      <c r="AB95" s="482"/>
      <c r="AC95" s="482"/>
      <c r="AD95" s="482"/>
      <c r="AE95" s="482"/>
      <c r="AF95" s="482"/>
      <c r="AG95" s="482"/>
      <c r="AH95" s="482"/>
      <c r="AI95" s="482"/>
      <c r="AJ95" s="482"/>
      <c r="AK95" s="482"/>
      <c r="AL95" s="482"/>
      <c r="AM95" s="482"/>
      <c r="AN95" s="482"/>
      <c r="AO95" s="30"/>
    </row>
    <row r="96" spans="1:41" s="24" customFormat="1">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482"/>
      <c r="AA96" s="482"/>
      <c r="AB96" s="482"/>
      <c r="AC96" s="482"/>
      <c r="AD96" s="482"/>
      <c r="AE96" s="482"/>
      <c r="AF96" s="482"/>
      <c r="AG96" s="482"/>
      <c r="AH96" s="482"/>
      <c r="AI96" s="482"/>
      <c r="AJ96" s="482"/>
      <c r="AK96" s="482"/>
      <c r="AL96" s="482"/>
      <c r="AM96" s="482"/>
      <c r="AN96" s="482"/>
      <c r="AO96" s="30"/>
    </row>
    <row r="97" spans="1:40" s="24" customForma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482"/>
      <c r="AA97" s="482"/>
      <c r="AB97" s="482"/>
      <c r="AC97" s="482"/>
      <c r="AD97" s="482"/>
      <c r="AE97" s="482"/>
      <c r="AF97" s="482"/>
      <c r="AG97" s="482"/>
      <c r="AH97" s="482"/>
      <c r="AI97" s="482"/>
      <c r="AJ97" s="482"/>
      <c r="AK97" s="482"/>
      <c r="AL97" s="482"/>
      <c r="AM97" s="482"/>
      <c r="AN97" s="482"/>
    </row>
    <row r="98" spans="1:40" s="24" customFormat="1">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482"/>
      <c r="AA98" s="482"/>
      <c r="AB98" s="482"/>
      <c r="AC98" s="482"/>
      <c r="AD98" s="482"/>
      <c r="AE98" s="482"/>
      <c r="AF98" s="482"/>
      <c r="AG98" s="482"/>
      <c r="AH98" s="482"/>
      <c r="AI98" s="482"/>
      <c r="AJ98" s="482"/>
      <c r="AK98" s="482"/>
      <c r="AL98" s="482"/>
      <c r="AM98" s="482"/>
      <c r="AN98" s="482"/>
    </row>
    <row r="99" spans="1:40" s="24" customFormat="1">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482"/>
      <c r="AA99" s="482"/>
      <c r="AB99" s="482"/>
      <c r="AC99" s="482"/>
      <c r="AD99" s="482"/>
      <c r="AE99" s="482"/>
      <c r="AF99" s="482"/>
      <c r="AG99" s="482"/>
      <c r="AH99" s="482"/>
      <c r="AI99" s="482"/>
      <c r="AJ99" s="482"/>
      <c r="AK99" s="482"/>
      <c r="AL99" s="482"/>
      <c r="AM99" s="482"/>
      <c r="AN99" s="482"/>
    </row>
    <row r="100" spans="1:40" s="24" customFormat="1">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482"/>
      <c r="AA100" s="482"/>
      <c r="AB100" s="482"/>
      <c r="AC100" s="482"/>
      <c r="AD100" s="482"/>
      <c r="AE100" s="482"/>
      <c r="AF100" s="482"/>
      <c r="AG100" s="482"/>
      <c r="AH100" s="482"/>
      <c r="AI100" s="482"/>
      <c r="AJ100" s="482"/>
      <c r="AK100" s="482"/>
      <c r="AL100" s="482"/>
      <c r="AM100" s="482"/>
      <c r="AN100" s="482"/>
    </row>
    <row r="101" spans="1:40" s="24" customFormat="1">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482"/>
      <c r="AA101" s="482"/>
      <c r="AB101" s="482"/>
      <c r="AC101" s="482"/>
      <c r="AD101" s="482"/>
      <c r="AE101" s="482"/>
      <c r="AF101" s="482"/>
      <c r="AG101" s="482"/>
      <c r="AH101" s="482"/>
      <c r="AI101" s="482"/>
      <c r="AJ101" s="482"/>
      <c r="AK101" s="482"/>
      <c r="AL101" s="482"/>
      <c r="AM101" s="482"/>
      <c r="AN101" s="482"/>
    </row>
    <row r="102" spans="1:40" s="24" customFormat="1">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482"/>
      <c r="AA102" s="482"/>
      <c r="AB102" s="482"/>
      <c r="AC102" s="482"/>
      <c r="AD102" s="482"/>
      <c r="AE102" s="482"/>
      <c r="AF102" s="482"/>
      <c r="AG102" s="482"/>
      <c r="AH102" s="482"/>
      <c r="AI102" s="482"/>
      <c r="AJ102" s="482"/>
      <c r="AK102" s="482"/>
      <c r="AL102" s="482"/>
      <c r="AM102" s="482"/>
      <c r="AN102" s="482"/>
    </row>
    <row r="103" spans="1:40" s="24" customFormat="1">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482"/>
      <c r="AA103" s="482"/>
      <c r="AB103" s="482"/>
      <c r="AC103" s="482"/>
      <c r="AD103" s="482"/>
      <c r="AE103" s="482"/>
      <c r="AF103" s="482"/>
      <c r="AG103" s="482"/>
      <c r="AH103" s="482"/>
      <c r="AI103" s="482"/>
      <c r="AJ103" s="482"/>
      <c r="AK103" s="482"/>
      <c r="AL103" s="482"/>
      <c r="AM103" s="482"/>
      <c r="AN103" s="482"/>
    </row>
    <row r="104" spans="1:40" s="24" customFormat="1">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482"/>
      <c r="AA104" s="482"/>
      <c r="AB104" s="482"/>
      <c r="AC104" s="482"/>
      <c r="AD104" s="482"/>
      <c r="AE104" s="482"/>
      <c r="AF104" s="482"/>
      <c r="AG104" s="482"/>
      <c r="AH104" s="482"/>
      <c r="AI104" s="482"/>
      <c r="AJ104" s="482"/>
      <c r="AK104" s="482"/>
      <c r="AL104" s="482"/>
      <c r="AM104" s="482"/>
      <c r="AN104" s="482"/>
    </row>
    <row r="105" spans="1:40" s="24" customFormat="1">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482"/>
      <c r="AA105" s="482"/>
      <c r="AB105" s="482"/>
      <c r="AC105" s="482"/>
      <c r="AD105" s="482"/>
      <c r="AE105" s="482"/>
      <c r="AF105" s="482"/>
      <c r="AG105" s="482"/>
      <c r="AH105" s="482"/>
      <c r="AI105" s="482"/>
      <c r="AJ105" s="482"/>
      <c r="AK105" s="482"/>
      <c r="AL105" s="482"/>
      <c r="AM105" s="482"/>
      <c r="AN105" s="482"/>
    </row>
    <row r="106" spans="1:40" s="24" customForma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482"/>
      <c r="AA106" s="482"/>
      <c r="AB106" s="482"/>
      <c r="AC106" s="482"/>
      <c r="AD106" s="482"/>
      <c r="AE106" s="482"/>
      <c r="AF106" s="482"/>
      <c r="AG106" s="482"/>
      <c r="AH106" s="482"/>
      <c r="AI106" s="482"/>
      <c r="AJ106" s="482"/>
      <c r="AK106" s="482"/>
      <c r="AL106" s="482"/>
      <c r="AM106" s="482"/>
      <c r="AN106" s="482"/>
    </row>
    <row r="107" spans="1:40" s="24" customForma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482"/>
      <c r="AA107" s="482"/>
      <c r="AB107" s="482"/>
      <c r="AC107" s="482"/>
      <c r="AD107" s="482"/>
      <c r="AE107" s="482"/>
      <c r="AF107" s="482"/>
      <c r="AG107" s="482"/>
      <c r="AH107" s="482"/>
      <c r="AI107" s="482"/>
      <c r="AJ107" s="482"/>
      <c r="AK107" s="482"/>
      <c r="AL107" s="482"/>
      <c r="AM107" s="482"/>
      <c r="AN107" s="482"/>
    </row>
    <row r="108" spans="1:40" s="24" customForma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482"/>
      <c r="AA108" s="482"/>
      <c r="AB108" s="482"/>
      <c r="AC108" s="482"/>
      <c r="AD108" s="482"/>
      <c r="AE108" s="482"/>
      <c r="AF108" s="482"/>
      <c r="AG108" s="482"/>
      <c r="AH108" s="482"/>
      <c r="AI108" s="482"/>
      <c r="AJ108" s="482"/>
      <c r="AK108" s="482"/>
      <c r="AL108" s="482"/>
      <c r="AM108" s="482"/>
      <c r="AN108" s="482"/>
    </row>
    <row r="109" spans="1:40" s="24" customForma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482"/>
      <c r="AA109" s="482"/>
      <c r="AB109" s="482"/>
      <c r="AC109" s="482"/>
      <c r="AD109" s="482"/>
      <c r="AE109" s="482"/>
      <c r="AF109" s="482"/>
      <c r="AG109" s="482"/>
      <c r="AH109" s="482"/>
      <c r="AI109" s="482"/>
      <c r="AJ109" s="482"/>
      <c r="AK109" s="482"/>
      <c r="AL109" s="482"/>
      <c r="AM109" s="482"/>
      <c r="AN109" s="482"/>
    </row>
    <row r="110" spans="1:40" s="24" customForma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482"/>
      <c r="AA110" s="482"/>
      <c r="AB110" s="482"/>
      <c r="AC110" s="482"/>
      <c r="AD110" s="482"/>
      <c r="AE110" s="482"/>
      <c r="AF110" s="482"/>
      <c r="AG110" s="482"/>
      <c r="AH110" s="482"/>
      <c r="AI110" s="482"/>
      <c r="AJ110" s="482"/>
      <c r="AK110" s="482"/>
      <c r="AL110" s="482"/>
      <c r="AM110" s="482"/>
      <c r="AN110" s="482"/>
    </row>
    <row r="111" spans="1:40" s="24" customForma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482"/>
      <c r="AA111" s="482"/>
      <c r="AB111" s="482"/>
      <c r="AC111" s="482"/>
      <c r="AD111" s="482"/>
      <c r="AE111" s="482"/>
      <c r="AF111" s="482"/>
      <c r="AG111" s="482"/>
      <c r="AH111" s="482"/>
      <c r="AI111" s="482"/>
      <c r="AJ111" s="482"/>
      <c r="AK111" s="482"/>
      <c r="AL111" s="482"/>
      <c r="AM111" s="482"/>
      <c r="AN111" s="482"/>
    </row>
    <row r="112" spans="1:40" s="24" customForma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482"/>
      <c r="AA112" s="482"/>
      <c r="AB112" s="482"/>
      <c r="AC112" s="482"/>
      <c r="AD112" s="482"/>
      <c r="AE112" s="482"/>
      <c r="AF112" s="482"/>
      <c r="AG112" s="482"/>
      <c r="AH112" s="482"/>
      <c r="AI112" s="482"/>
      <c r="AJ112" s="482"/>
      <c r="AK112" s="482"/>
      <c r="AL112" s="482"/>
      <c r="AM112" s="482"/>
      <c r="AN112" s="482"/>
    </row>
    <row r="113" spans="1:40" s="24" customForma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482"/>
      <c r="AA113" s="482"/>
      <c r="AB113" s="482"/>
      <c r="AC113" s="482"/>
      <c r="AD113" s="482"/>
      <c r="AE113" s="482"/>
      <c r="AF113" s="482"/>
      <c r="AG113" s="482"/>
      <c r="AH113" s="482"/>
      <c r="AI113" s="482"/>
      <c r="AJ113" s="482"/>
      <c r="AK113" s="482"/>
      <c r="AL113" s="482"/>
      <c r="AM113" s="482"/>
      <c r="AN113" s="482"/>
    </row>
    <row r="114" spans="1:40" s="24" customForma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482"/>
      <c r="AA114" s="482"/>
      <c r="AB114" s="482"/>
      <c r="AC114" s="482"/>
      <c r="AD114" s="482"/>
      <c r="AE114" s="482"/>
      <c r="AF114" s="482"/>
      <c r="AG114" s="482"/>
      <c r="AH114" s="482"/>
      <c r="AI114" s="482"/>
      <c r="AJ114" s="482"/>
      <c r="AK114" s="482"/>
      <c r="AL114" s="482"/>
      <c r="AM114" s="482"/>
      <c r="AN114" s="482"/>
    </row>
    <row r="115" spans="1:40" s="24" customForma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482"/>
      <c r="AA115" s="482"/>
      <c r="AB115" s="482"/>
      <c r="AC115" s="482"/>
      <c r="AD115" s="482"/>
      <c r="AE115" s="482"/>
      <c r="AF115" s="482"/>
      <c r="AG115" s="482"/>
      <c r="AH115" s="482"/>
      <c r="AI115" s="482"/>
      <c r="AJ115" s="482"/>
      <c r="AK115" s="482"/>
      <c r="AL115" s="482"/>
      <c r="AM115" s="482"/>
      <c r="AN115" s="482"/>
    </row>
    <row r="116" spans="1:40" s="24" customForma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482"/>
      <c r="AA116" s="482"/>
      <c r="AB116" s="482"/>
      <c r="AC116" s="482"/>
      <c r="AD116" s="482"/>
      <c r="AE116" s="482"/>
      <c r="AF116" s="482"/>
      <c r="AG116" s="482"/>
      <c r="AH116" s="482"/>
      <c r="AI116" s="482"/>
      <c r="AJ116" s="482"/>
      <c r="AK116" s="482"/>
      <c r="AL116" s="482"/>
      <c r="AM116" s="482"/>
      <c r="AN116" s="482"/>
    </row>
    <row r="117" spans="1:40" s="24" customFormat="1">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482"/>
      <c r="AA117" s="482"/>
      <c r="AB117" s="482"/>
      <c r="AC117" s="482"/>
      <c r="AD117" s="482"/>
      <c r="AE117" s="482"/>
      <c r="AF117" s="482"/>
      <c r="AG117" s="482"/>
      <c r="AH117" s="482"/>
      <c r="AI117" s="482"/>
      <c r="AJ117" s="482"/>
      <c r="AK117" s="482"/>
      <c r="AL117" s="482"/>
      <c r="AM117" s="482"/>
      <c r="AN117" s="482"/>
    </row>
    <row r="118" spans="1:40" s="24" customFormat="1">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482"/>
      <c r="AA118" s="482"/>
      <c r="AB118" s="482"/>
      <c r="AC118" s="482"/>
      <c r="AD118" s="482"/>
      <c r="AE118" s="482"/>
      <c r="AF118" s="482"/>
      <c r="AG118" s="482"/>
      <c r="AH118" s="482"/>
      <c r="AI118" s="482"/>
      <c r="AJ118" s="482"/>
      <c r="AK118" s="482"/>
      <c r="AL118" s="482"/>
      <c r="AM118" s="482"/>
      <c r="AN118" s="482"/>
    </row>
    <row r="119" spans="1:40" s="24" customFormat="1">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482"/>
      <c r="AA119" s="482"/>
      <c r="AB119" s="482"/>
      <c r="AC119" s="482"/>
      <c r="AD119" s="482"/>
      <c r="AE119" s="482"/>
      <c r="AF119" s="482"/>
      <c r="AG119" s="482"/>
      <c r="AH119" s="482"/>
      <c r="AI119" s="482"/>
      <c r="AJ119" s="482"/>
      <c r="AK119" s="482"/>
      <c r="AL119" s="482"/>
      <c r="AM119" s="482"/>
      <c r="AN119" s="482"/>
    </row>
    <row r="120" spans="1:40" s="24" customFormat="1">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482"/>
      <c r="AA120" s="482"/>
      <c r="AB120" s="482"/>
      <c r="AC120" s="482"/>
      <c r="AD120" s="482"/>
      <c r="AE120" s="482"/>
      <c r="AF120" s="482"/>
      <c r="AG120" s="482"/>
      <c r="AH120" s="482"/>
      <c r="AI120" s="482"/>
      <c r="AJ120" s="482"/>
      <c r="AK120" s="482"/>
      <c r="AL120" s="482"/>
      <c r="AM120" s="482"/>
      <c r="AN120" s="482"/>
    </row>
    <row r="121" spans="1:40" s="24" customForma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482"/>
      <c r="AA121" s="482"/>
      <c r="AB121" s="482"/>
      <c r="AC121" s="482"/>
      <c r="AD121" s="482"/>
      <c r="AE121" s="482"/>
      <c r="AF121" s="482"/>
      <c r="AG121" s="482"/>
      <c r="AH121" s="482"/>
      <c r="AI121" s="482"/>
      <c r="AJ121" s="482"/>
      <c r="AK121" s="482"/>
      <c r="AL121" s="482"/>
      <c r="AM121" s="482"/>
      <c r="AN121" s="482"/>
    </row>
    <row r="122" spans="1:40" s="24" customForma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482"/>
      <c r="AA122" s="482"/>
      <c r="AB122" s="482"/>
      <c r="AC122" s="482"/>
      <c r="AD122" s="482"/>
      <c r="AE122" s="482"/>
      <c r="AF122" s="482"/>
      <c r="AG122" s="482"/>
      <c r="AH122" s="482"/>
      <c r="AI122" s="482"/>
      <c r="AJ122" s="482"/>
      <c r="AK122" s="482"/>
      <c r="AL122" s="482"/>
      <c r="AM122" s="482"/>
      <c r="AN122" s="482"/>
    </row>
    <row r="123" spans="1:40" s="24" customForma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482"/>
      <c r="AA123" s="482"/>
      <c r="AB123" s="482"/>
      <c r="AC123" s="482"/>
      <c r="AD123" s="482"/>
      <c r="AE123" s="482"/>
      <c r="AF123" s="482"/>
      <c r="AG123" s="482"/>
      <c r="AH123" s="482"/>
      <c r="AI123" s="482"/>
      <c r="AJ123" s="482"/>
      <c r="AK123" s="482"/>
      <c r="AL123" s="482"/>
      <c r="AM123" s="482"/>
      <c r="AN123" s="482"/>
    </row>
    <row r="124" spans="1:40" s="24" customForma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482"/>
      <c r="AA124" s="482"/>
      <c r="AB124" s="482"/>
      <c r="AC124" s="482"/>
      <c r="AD124" s="482"/>
      <c r="AE124" s="482"/>
      <c r="AF124" s="482"/>
      <c r="AG124" s="482"/>
      <c r="AH124" s="482"/>
      <c r="AI124" s="482"/>
      <c r="AJ124" s="482"/>
      <c r="AK124" s="482"/>
      <c r="AL124" s="482"/>
      <c r="AM124" s="482"/>
      <c r="AN124" s="482"/>
    </row>
    <row r="125" spans="1:40" s="24" customForma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482"/>
      <c r="AA125" s="482"/>
      <c r="AB125" s="482"/>
      <c r="AC125" s="482"/>
      <c r="AD125" s="482"/>
      <c r="AE125" s="482"/>
      <c r="AF125" s="482"/>
      <c r="AG125" s="482"/>
      <c r="AH125" s="482"/>
      <c r="AI125" s="482"/>
      <c r="AJ125" s="482"/>
      <c r="AK125" s="482"/>
      <c r="AL125" s="482"/>
      <c r="AM125" s="482"/>
      <c r="AN125" s="482"/>
    </row>
    <row r="126" spans="1:40" s="24" customForma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482"/>
      <c r="AA126" s="482"/>
      <c r="AB126" s="482"/>
      <c r="AC126" s="482"/>
      <c r="AD126" s="482"/>
      <c r="AE126" s="482"/>
      <c r="AF126" s="482"/>
      <c r="AG126" s="482"/>
      <c r="AH126" s="482"/>
      <c r="AI126" s="482"/>
      <c r="AJ126" s="482"/>
      <c r="AK126" s="482"/>
      <c r="AL126" s="482"/>
      <c r="AM126" s="482"/>
      <c r="AN126" s="482"/>
    </row>
    <row r="127" spans="1:40" s="24" customForma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482"/>
      <c r="AA127" s="482"/>
      <c r="AB127" s="482"/>
      <c r="AC127" s="482"/>
      <c r="AD127" s="482"/>
      <c r="AE127" s="482"/>
      <c r="AF127" s="482"/>
      <c r="AG127" s="482"/>
      <c r="AH127" s="482"/>
      <c r="AI127" s="482"/>
      <c r="AJ127" s="482"/>
      <c r="AK127" s="482"/>
      <c r="AL127" s="482"/>
      <c r="AM127" s="482"/>
      <c r="AN127" s="482"/>
    </row>
    <row r="128" spans="1:40" s="24" customForma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482"/>
      <c r="AA128" s="482"/>
      <c r="AB128" s="482"/>
      <c r="AC128" s="482"/>
      <c r="AD128" s="482"/>
      <c r="AE128" s="482"/>
      <c r="AF128" s="482"/>
      <c r="AG128" s="482"/>
      <c r="AH128" s="482"/>
      <c r="AI128" s="482"/>
      <c r="AJ128" s="482"/>
      <c r="AK128" s="482"/>
      <c r="AL128" s="482"/>
      <c r="AM128" s="482"/>
      <c r="AN128" s="482"/>
    </row>
    <row r="129" spans="1:40" s="24" customForma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482"/>
      <c r="AA129" s="482"/>
      <c r="AB129" s="482"/>
      <c r="AC129" s="482"/>
      <c r="AD129" s="482"/>
      <c r="AE129" s="482"/>
      <c r="AF129" s="482"/>
      <c r="AG129" s="482"/>
      <c r="AH129" s="482"/>
      <c r="AI129" s="482"/>
      <c r="AJ129" s="482"/>
      <c r="AK129" s="482"/>
      <c r="AL129" s="482"/>
      <c r="AM129" s="482"/>
      <c r="AN129" s="482"/>
    </row>
    <row r="130" spans="1:40" s="24" customForma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482"/>
      <c r="AA130" s="482"/>
      <c r="AB130" s="482"/>
      <c r="AC130" s="482"/>
      <c r="AD130" s="482"/>
      <c r="AE130" s="482"/>
      <c r="AF130" s="482"/>
      <c r="AG130" s="482"/>
      <c r="AH130" s="482"/>
      <c r="AI130" s="482"/>
      <c r="AJ130" s="482"/>
      <c r="AK130" s="482"/>
      <c r="AL130" s="482"/>
      <c r="AM130" s="482"/>
      <c r="AN130" s="482"/>
    </row>
    <row r="131" spans="1:40" s="24" customForma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482"/>
      <c r="AA131" s="482"/>
      <c r="AB131" s="482"/>
      <c r="AC131" s="482"/>
      <c r="AD131" s="482"/>
      <c r="AE131" s="482"/>
      <c r="AF131" s="482"/>
      <c r="AG131" s="482"/>
      <c r="AH131" s="482"/>
      <c r="AI131" s="482"/>
      <c r="AJ131" s="482"/>
      <c r="AK131" s="482"/>
      <c r="AL131" s="482"/>
      <c r="AM131" s="482"/>
      <c r="AN131" s="482"/>
    </row>
    <row r="132" spans="1:40" s="24" customForma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482"/>
      <c r="AA132" s="482"/>
      <c r="AB132" s="482"/>
      <c r="AC132" s="482"/>
      <c r="AD132" s="482"/>
      <c r="AE132" s="482"/>
      <c r="AF132" s="482"/>
      <c r="AG132" s="482"/>
      <c r="AH132" s="482"/>
      <c r="AI132" s="482"/>
      <c r="AJ132" s="482"/>
      <c r="AK132" s="482"/>
      <c r="AL132" s="482"/>
      <c r="AM132" s="482"/>
      <c r="AN132" s="482"/>
    </row>
    <row r="133" spans="1:40" s="24" customForma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482"/>
      <c r="AA133" s="482"/>
      <c r="AB133" s="482"/>
      <c r="AC133" s="482"/>
      <c r="AD133" s="482"/>
      <c r="AE133" s="482"/>
      <c r="AF133" s="482"/>
      <c r="AG133" s="482"/>
      <c r="AH133" s="482"/>
      <c r="AI133" s="482"/>
      <c r="AJ133" s="482"/>
      <c r="AK133" s="482"/>
      <c r="AL133" s="482"/>
      <c r="AM133" s="482"/>
      <c r="AN133" s="482"/>
    </row>
    <row r="134" spans="1:40" s="24" customForma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482"/>
      <c r="AA134" s="482"/>
      <c r="AB134" s="482"/>
      <c r="AC134" s="482"/>
      <c r="AD134" s="482"/>
      <c r="AE134" s="482"/>
      <c r="AF134" s="482"/>
      <c r="AG134" s="482"/>
      <c r="AH134" s="482"/>
      <c r="AI134" s="482"/>
      <c r="AJ134" s="482"/>
      <c r="AK134" s="482"/>
      <c r="AL134" s="482"/>
      <c r="AM134" s="482"/>
      <c r="AN134" s="482"/>
    </row>
    <row r="135" spans="1:40" s="24" customForma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482"/>
      <c r="AA135" s="482"/>
      <c r="AB135" s="482"/>
      <c r="AC135" s="482"/>
      <c r="AD135" s="482"/>
      <c r="AE135" s="482"/>
      <c r="AF135" s="482"/>
      <c r="AG135" s="482"/>
      <c r="AH135" s="482"/>
      <c r="AI135" s="482"/>
      <c r="AJ135" s="482"/>
      <c r="AK135" s="482"/>
      <c r="AL135" s="482"/>
      <c r="AM135" s="482"/>
      <c r="AN135" s="482"/>
    </row>
    <row r="136" spans="1:40" s="24" customForma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482"/>
      <c r="AA136" s="482"/>
      <c r="AB136" s="482"/>
      <c r="AC136" s="482"/>
      <c r="AD136" s="482"/>
      <c r="AE136" s="482"/>
      <c r="AF136" s="482"/>
      <c r="AG136" s="482"/>
      <c r="AH136" s="482"/>
      <c r="AI136" s="482"/>
      <c r="AJ136" s="482"/>
      <c r="AK136" s="482"/>
      <c r="AL136" s="482"/>
      <c r="AM136" s="482"/>
      <c r="AN136" s="482"/>
    </row>
    <row r="137" spans="1:40" s="24" customForma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482"/>
      <c r="AA137" s="482"/>
      <c r="AB137" s="482"/>
      <c r="AC137" s="482"/>
      <c r="AD137" s="482"/>
      <c r="AE137" s="482"/>
      <c r="AF137" s="482"/>
      <c r="AG137" s="482"/>
      <c r="AH137" s="482"/>
      <c r="AI137" s="482"/>
      <c r="AJ137" s="482"/>
      <c r="AK137" s="482"/>
      <c r="AL137" s="482"/>
      <c r="AM137" s="482"/>
      <c r="AN137" s="482"/>
    </row>
    <row r="138" spans="1:40" s="24" customFormat="1">
      <c r="A138" s="30"/>
      <c r="B138" s="30"/>
      <c r="C138" s="30"/>
      <c r="D138" s="30"/>
      <c r="E138" s="30"/>
      <c r="F138" s="30"/>
      <c r="G138" s="30"/>
      <c r="H138" s="30"/>
      <c r="I138" s="30"/>
      <c r="J138" s="30"/>
      <c r="K138" s="30"/>
      <c r="L138" s="30"/>
      <c r="M138" s="30"/>
      <c r="N138" s="30"/>
      <c r="O138" s="30"/>
      <c r="P138" s="30"/>
      <c r="Q138" s="30"/>
      <c r="R138" s="30"/>
      <c r="S138" s="30"/>
      <c r="T138" s="482"/>
      <c r="U138" s="482"/>
      <c r="V138" s="482"/>
      <c r="W138" s="482"/>
      <c r="X138" s="482"/>
      <c r="Y138" s="482"/>
      <c r="Z138" s="482"/>
      <c r="AA138" s="482"/>
      <c r="AB138" s="482"/>
      <c r="AC138" s="482"/>
      <c r="AD138" s="482"/>
      <c r="AE138" s="482"/>
      <c r="AF138" s="482"/>
      <c r="AG138" s="482"/>
      <c r="AH138" s="482"/>
      <c r="AI138" s="482"/>
      <c r="AJ138" s="482"/>
      <c r="AK138" s="482"/>
      <c r="AL138" s="482"/>
      <c r="AM138" s="482"/>
      <c r="AN138" s="482"/>
    </row>
    <row r="139" spans="1:40" s="24" customFormat="1">
      <c r="A139" s="30"/>
      <c r="B139" s="30"/>
      <c r="C139" s="30"/>
      <c r="D139" s="30"/>
      <c r="E139" s="30"/>
      <c r="F139" s="30"/>
      <c r="G139" s="30"/>
      <c r="H139" s="30"/>
      <c r="I139" s="30"/>
      <c r="J139" s="30"/>
      <c r="K139" s="30"/>
      <c r="L139" s="30"/>
      <c r="M139" s="30"/>
      <c r="N139" s="482"/>
      <c r="O139" s="482"/>
      <c r="P139" s="482"/>
      <c r="Q139" s="482"/>
      <c r="R139" s="482"/>
      <c r="S139" s="482"/>
      <c r="T139" s="482"/>
      <c r="U139" s="482"/>
      <c r="V139" s="482"/>
      <c r="W139" s="482"/>
      <c r="X139" s="482"/>
      <c r="Y139" s="482"/>
      <c r="Z139" s="482"/>
      <c r="AA139" s="482"/>
      <c r="AB139" s="482"/>
      <c r="AC139" s="482"/>
      <c r="AD139" s="482"/>
      <c r="AE139" s="482"/>
      <c r="AF139" s="482"/>
      <c r="AG139" s="482"/>
      <c r="AH139" s="482"/>
      <c r="AI139" s="482"/>
      <c r="AJ139" s="482"/>
      <c r="AK139" s="482"/>
      <c r="AL139" s="482"/>
      <c r="AM139" s="482"/>
      <c r="AN139" s="482"/>
    </row>
    <row r="140" spans="1:40" s="24" customFormat="1">
      <c r="A140" s="30"/>
      <c r="B140" s="30"/>
      <c r="C140" s="30"/>
      <c r="D140" s="30"/>
      <c r="E140" s="30"/>
      <c r="F140" s="30"/>
      <c r="G140" s="30"/>
      <c r="H140" s="30"/>
      <c r="I140" s="30"/>
      <c r="J140" s="30"/>
      <c r="K140" s="30"/>
      <c r="L140" s="30"/>
      <c r="M140" s="30"/>
      <c r="N140" s="482"/>
      <c r="O140" s="482"/>
      <c r="P140" s="482"/>
      <c r="Q140" s="482"/>
      <c r="R140" s="482"/>
      <c r="S140" s="482"/>
      <c r="T140" s="482"/>
      <c r="U140" s="482"/>
      <c r="V140" s="482"/>
      <c r="W140" s="482"/>
      <c r="X140" s="482"/>
      <c r="Y140" s="482"/>
      <c r="Z140" s="482"/>
      <c r="AA140" s="482"/>
      <c r="AB140" s="482"/>
      <c r="AC140" s="482"/>
      <c r="AD140" s="482"/>
      <c r="AE140" s="482"/>
      <c r="AF140" s="482"/>
      <c r="AG140" s="482"/>
      <c r="AH140" s="482"/>
      <c r="AI140" s="482"/>
      <c r="AJ140" s="482"/>
      <c r="AK140" s="482"/>
      <c r="AL140" s="482"/>
      <c r="AM140" s="482"/>
      <c r="AN140" s="482"/>
    </row>
    <row r="141" spans="1:40" s="24" customFormat="1">
      <c r="A141" s="30"/>
      <c r="B141" s="30"/>
      <c r="C141" s="30"/>
      <c r="D141" s="30"/>
      <c r="E141" s="30"/>
      <c r="F141" s="30"/>
      <c r="G141" s="30"/>
      <c r="H141" s="30"/>
      <c r="I141" s="30"/>
      <c r="J141" s="30"/>
      <c r="K141" s="30"/>
      <c r="L141" s="30"/>
      <c r="M141" s="30"/>
      <c r="N141" s="482"/>
      <c r="O141" s="482"/>
      <c r="P141" s="482"/>
      <c r="Q141" s="482"/>
      <c r="R141" s="482"/>
      <c r="S141" s="482"/>
      <c r="T141" s="482"/>
      <c r="U141" s="482"/>
      <c r="V141" s="482"/>
      <c r="W141" s="482"/>
      <c r="X141" s="482"/>
      <c r="Y141" s="482"/>
      <c r="Z141" s="482"/>
      <c r="AA141" s="482"/>
      <c r="AB141" s="482"/>
      <c r="AC141" s="482"/>
      <c r="AD141" s="482"/>
      <c r="AE141" s="482"/>
      <c r="AF141" s="482"/>
      <c r="AG141" s="482"/>
      <c r="AH141" s="482"/>
      <c r="AI141" s="482"/>
      <c r="AJ141" s="482"/>
      <c r="AK141" s="482"/>
      <c r="AL141" s="482"/>
      <c r="AM141" s="482"/>
      <c r="AN141" s="482"/>
    </row>
    <row r="142" spans="1:40" s="24" customFormat="1">
      <c r="A142" s="30"/>
      <c r="B142" s="30"/>
      <c r="C142" s="30"/>
      <c r="D142" s="30"/>
      <c r="E142" s="30"/>
      <c r="F142" s="30"/>
      <c r="G142" s="30"/>
      <c r="H142" s="30"/>
      <c r="I142" s="30"/>
      <c r="J142" s="30"/>
      <c r="K142" s="30"/>
      <c r="L142" s="30"/>
      <c r="M142" s="30"/>
      <c r="N142" s="482"/>
      <c r="O142" s="482"/>
      <c r="P142" s="482"/>
      <c r="Q142" s="482"/>
      <c r="R142" s="482"/>
      <c r="S142" s="482"/>
      <c r="T142" s="482"/>
      <c r="U142" s="482"/>
      <c r="V142" s="482"/>
      <c r="W142" s="482"/>
      <c r="X142" s="482"/>
      <c r="Y142" s="482"/>
      <c r="Z142" s="482"/>
      <c r="AA142" s="482"/>
      <c r="AB142" s="482"/>
      <c r="AC142" s="482"/>
      <c r="AD142" s="482"/>
      <c r="AE142" s="482"/>
      <c r="AF142" s="482"/>
      <c r="AG142" s="482"/>
      <c r="AH142" s="482"/>
      <c r="AI142" s="482"/>
      <c r="AJ142" s="482"/>
      <c r="AK142" s="482"/>
      <c r="AL142" s="482"/>
      <c r="AM142" s="482"/>
      <c r="AN142" s="482"/>
    </row>
    <row r="143" spans="1:40" s="24" customFormat="1">
      <c r="A143" s="30"/>
      <c r="B143" s="30"/>
      <c r="C143" s="30"/>
      <c r="D143" s="30"/>
      <c r="E143" s="30"/>
      <c r="F143" s="30"/>
      <c r="G143" s="30"/>
      <c r="H143" s="30"/>
      <c r="I143" s="30"/>
      <c r="J143" s="30"/>
      <c r="K143" s="30"/>
      <c r="L143" s="30"/>
      <c r="M143" s="30"/>
      <c r="N143" s="482"/>
      <c r="O143" s="482"/>
      <c r="P143" s="482"/>
      <c r="Q143" s="482"/>
      <c r="R143" s="482"/>
      <c r="S143" s="482"/>
      <c r="T143" s="482"/>
      <c r="U143" s="482"/>
      <c r="V143" s="482"/>
      <c r="W143" s="482"/>
      <c r="X143" s="482"/>
      <c r="Y143" s="482"/>
      <c r="Z143" s="482"/>
      <c r="AA143" s="482"/>
      <c r="AB143" s="482"/>
      <c r="AC143" s="482"/>
      <c r="AD143" s="482"/>
      <c r="AE143" s="482"/>
      <c r="AF143" s="482"/>
      <c r="AG143" s="482"/>
      <c r="AH143" s="482"/>
      <c r="AI143" s="482"/>
      <c r="AJ143" s="482"/>
      <c r="AK143" s="482"/>
      <c r="AL143" s="482"/>
      <c r="AM143" s="482"/>
      <c r="AN143" s="482"/>
    </row>
    <row r="144" spans="1:40" s="24" customFormat="1">
      <c r="A144" s="30"/>
      <c r="B144" s="30"/>
      <c r="C144" s="30"/>
      <c r="D144" s="30"/>
      <c r="E144" s="30"/>
      <c r="F144" s="30"/>
      <c r="G144" s="30"/>
      <c r="H144" s="30"/>
      <c r="I144" s="30"/>
      <c r="J144" s="30"/>
      <c r="K144" s="30"/>
      <c r="L144" s="30"/>
      <c r="M144" s="30"/>
      <c r="N144" s="482"/>
      <c r="O144" s="482"/>
      <c r="P144" s="482"/>
      <c r="Q144" s="482"/>
      <c r="R144" s="482"/>
      <c r="S144" s="482"/>
      <c r="T144" s="482"/>
      <c r="U144" s="482"/>
      <c r="V144" s="482"/>
      <c r="W144" s="482"/>
      <c r="X144" s="482"/>
      <c r="Y144" s="482"/>
      <c r="Z144" s="482"/>
      <c r="AA144" s="482"/>
      <c r="AB144" s="482"/>
      <c r="AC144" s="482"/>
      <c r="AD144" s="482"/>
      <c r="AE144" s="482"/>
      <c r="AF144" s="482"/>
      <c r="AG144" s="482"/>
      <c r="AH144" s="482"/>
      <c r="AI144" s="482"/>
      <c r="AJ144" s="482"/>
      <c r="AK144" s="482"/>
      <c r="AL144" s="482"/>
      <c r="AM144" s="482"/>
      <c r="AN144" s="482"/>
    </row>
    <row r="145" spans="1:40" s="24" customFormat="1">
      <c r="A145" s="30"/>
      <c r="B145" s="30"/>
      <c r="C145" s="30"/>
      <c r="D145" s="30"/>
      <c r="E145" s="30"/>
      <c r="F145" s="30"/>
      <c r="G145" s="30"/>
      <c r="H145" s="30"/>
      <c r="I145" s="30"/>
      <c r="J145" s="30"/>
      <c r="K145" s="30"/>
      <c r="L145" s="30"/>
      <c r="M145" s="30"/>
      <c r="N145" s="482"/>
      <c r="O145" s="482"/>
      <c r="P145" s="482"/>
      <c r="Q145" s="482"/>
      <c r="R145" s="482"/>
      <c r="S145" s="482"/>
      <c r="T145" s="482"/>
      <c r="U145" s="482"/>
      <c r="V145" s="482"/>
      <c r="W145" s="482"/>
      <c r="X145" s="482"/>
      <c r="Y145" s="482"/>
      <c r="Z145" s="482"/>
      <c r="AA145" s="482"/>
      <c r="AB145" s="482"/>
      <c r="AC145" s="482"/>
      <c r="AD145" s="482"/>
      <c r="AE145" s="482"/>
      <c r="AF145" s="482"/>
      <c r="AG145" s="482"/>
      <c r="AH145" s="482"/>
      <c r="AI145" s="482"/>
      <c r="AJ145" s="482"/>
      <c r="AK145" s="482"/>
      <c r="AL145" s="482"/>
      <c r="AM145" s="482"/>
      <c r="AN145" s="482"/>
    </row>
    <row r="146" spans="1:40" s="24" customFormat="1">
      <c r="A146" s="30"/>
      <c r="B146" s="30"/>
      <c r="C146" s="30"/>
      <c r="D146" s="30"/>
      <c r="E146" s="30"/>
      <c r="F146" s="30"/>
      <c r="G146" s="30"/>
      <c r="H146" s="30"/>
      <c r="I146" s="30"/>
      <c r="J146" s="30"/>
      <c r="K146" s="30"/>
      <c r="L146" s="30"/>
      <c r="M146" s="30"/>
      <c r="N146" s="482"/>
      <c r="O146" s="482"/>
      <c r="P146" s="482"/>
      <c r="Q146" s="482"/>
      <c r="R146" s="482"/>
      <c r="S146" s="482"/>
      <c r="T146" s="482"/>
      <c r="U146" s="482"/>
      <c r="V146" s="482"/>
      <c r="W146" s="482"/>
      <c r="X146" s="482"/>
      <c r="Y146" s="482"/>
      <c r="Z146" s="482"/>
      <c r="AA146" s="482"/>
      <c r="AB146" s="482"/>
      <c r="AC146" s="482"/>
      <c r="AD146" s="482"/>
      <c r="AE146" s="482"/>
      <c r="AF146" s="482"/>
      <c r="AG146" s="482"/>
      <c r="AH146" s="482"/>
      <c r="AI146" s="482"/>
      <c r="AJ146" s="482"/>
      <c r="AK146" s="482"/>
      <c r="AL146" s="482"/>
      <c r="AM146" s="482"/>
      <c r="AN146" s="482"/>
    </row>
    <row r="147" spans="1:40" s="24" customFormat="1">
      <c r="A147" s="30"/>
      <c r="B147" s="30"/>
      <c r="C147" s="30"/>
      <c r="D147" s="30"/>
      <c r="E147" s="30"/>
      <c r="F147" s="30"/>
      <c r="G147" s="30"/>
      <c r="H147" s="30"/>
      <c r="I147" s="30"/>
      <c r="J147" s="30"/>
      <c r="K147" s="30"/>
      <c r="L147" s="30"/>
      <c r="M147" s="30"/>
      <c r="N147" s="482"/>
      <c r="O147" s="482"/>
      <c r="P147" s="482"/>
      <c r="Q147" s="482"/>
      <c r="R147" s="482"/>
      <c r="S147" s="482"/>
      <c r="T147" s="482"/>
      <c r="U147" s="482"/>
      <c r="V147" s="482"/>
      <c r="W147" s="482"/>
      <c r="X147" s="482"/>
      <c r="Y147" s="482"/>
      <c r="Z147" s="482"/>
      <c r="AA147" s="482"/>
      <c r="AB147" s="482"/>
      <c r="AC147" s="482"/>
      <c r="AD147" s="482"/>
      <c r="AE147" s="482"/>
      <c r="AF147" s="482"/>
      <c r="AG147" s="482"/>
      <c r="AH147" s="482"/>
      <c r="AI147" s="482"/>
      <c r="AJ147" s="482"/>
      <c r="AK147" s="482"/>
      <c r="AL147" s="482"/>
      <c r="AM147" s="482"/>
      <c r="AN147" s="482"/>
    </row>
    <row r="148" spans="1:40" s="24" customFormat="1">
      <c r="A148" s="30"/>
      <c r="B148" s="30"/>
      <c r="C148" s="30"/>
      <c r="D148" s="30"/>
      <c r="E148" s="30"/>
      <c r="F148" s="30"/>
      <c r="G148" s="30"/>
      <c r="H148" s="30"/>
      <c r="I148" s="30"/>
      <c r="J148" s="30"/>
      <c r="K148" s="30"/>
      <c r="L148" s="30"/>
      <c r="M148" s="30"/>
      <c r="N148" s="482"/>
      <c r="O148" s="482"/>
      <c r="P148" s="482"/>
      <c r="Q148" s="482"/>
      <c r="R148" s="482"/>
      <c r="S148" s="482"/>
      <c r="T148" s="482"/>
      <c r="U148" s="482"/>
      <c r="V148" s="482"/>
      <c r="W148" s="482"/>
      <c r="X148" s="482"/>
      <c r="Y148" s="482"/>
      <c r="Z148" s="482"/>
      <c r="AA148" s="482"/>
      <c r="AB148" s="482"/>
      <c r="AC148" s="482"/>
      <c r="AD148" s="482"/>
      <c r="AE148" s="482"/>
      <c r="AF148" s="482"/>
      <c r="AG148" s="482"/>
      <c r="AH148" s="482"/>
      <c r="AI148" s="482"/>
      <c r="AJ148" s="482"/>
      <c r="AK148" s="482"/>
      <c r="AL148" s="482"/>
      <c r="AM148" s="482"/>
      <c r="AN148" s="482"/>
    </row>
    <row r="149" spans="1:40" s="24" customFormat="1">
      <c r="A149" s="30"/>
      <c r="B149" s="30"/>
      <c r="C149" s="30"/>
      <c r="D149" s="30"/>
      <c r="E149" s="30"/>
      <c r="F149" s="30"/>
      <c r="G149" s="30"/>
      <c r="H149" s="30"/>
      <c r="I149" s="30"/>
      <c r="J149" s="30"/>
      <c r="K149" s="30"/>
      <c r="L149" s="30"/>
      <c r="M149" s="30"/>
      <c r="N149" s="482"/>
      <c r="O149" s="482"/>
      <c r="P149" s="482"/>
      <c r="Q149" s="482"/>
      <c r="R149" s="482"/>
      <c r="S149" s="482"/>
      <c r="T149" s="482"/>
      <c r="U149" s="482"/>
      <c r="V149" s="482"/>
      <c r="W149" s="482"/>
      <c r="X149" s="482"/>
      <c r="Y149" s="482"/>
      <c r="Z149" s="482"/>
      <c r="AA149" s="482"/>
      <c r="AB149" s="482"/>
      <c r="AC149" s="482"/>
      <c r="AD149" s="482"/>
      <c r="AE149" s="482"/>
      <c r="AF149" s="482"/>
      <c r="AG149" s="482"/>
      <c r="AH149" s="482"/>
      <c r="AI149" s="482"/>
      <c r="AJ149" s="482"/>
      <c r="AK149" s="482"/>
      <c r="AL149" s="482"/>
      <c r="AM149" s="482"/>
      <c r="AN149" s="482"/>
    </row>
    <row r="150" spans="1:40" s="24" customForma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row>
    <row r="151" spans="1:40" s="24" customForma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row>
    <row r="152" spans="1:40" s="24" customForma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row>
    <row r="153" spans="1:40" s="24" customForma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row>
    <row r="154" spans="1:40" s="24" customForma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row>
    <row r="155" spans="1:40" s="24" customForma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row>
    <row r="156" spans="1:40" s="24" customForma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row>
    <row r="157" spans="1:40" s="24" customForma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row>
    <row r="158" spans="1:40" s="24" customForma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row>
    <row r="159" spans="1:40" s="24" customForma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row>
    <row r="160" spans="1:40" s="24" customForma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row>
    <row r="161" spans="1:1" s="24" customFormat="1">
      <c r="A161" s="30"/>
    </row>
    <row r="162" spans="1:1" s="24" customFormat="1">
      <c r="A162" s="30"/>
    </row>
    <row r="163" spans="1:1" s="24" customFormat="1">
      <c r="A163" s="30"/>
    </row>
    <row r="164" spans="1:1" s="24" customFormat="1">
      <c r="A164" s="30"/>
    </row>
    <row r="165" spans="1:1" s="24" customFormat="1">
      <c r="A165" s="30"/>
    </row>
    <row r="166" spans="1:1" s="24" customFormat="1">
      <c r="A166" s="30"/>
    </row>
    <row r="167" spans="1:1" s="24" customFormat="1">
      <c r="A167" s="30"/>
    </row>
    <row r="168" spans="1:1" s="24" customFormat="1">
      <c r="A168" s="30"/>
    </row>
    <row r="169" spans="1:1" s="24" customFormat="1">
      <c r="A169" s="30"/>
    </row>
    <row r="170" spans="1:1" s="24" customFormat="1">
      <c r="A170" s="30"/>
    </row>
    <row r="171" spans="1:1" s="24" customFormat="1">
      <c r="A171" s="30"/>
    </row>
    <row r="172" spans="1:1" s="24" customFormat="1">
      <c r="A172" s="30"/>
    </row>
    <row r="173" spans="1:1" s="24" customFormat="1">
      <c r="A173" s="30"/>
    </row>
    <row r="174" spans="1:1" s="24" customFormat="1">
      <c r="A174" s="30"/>
    </row>
    <row r="175" spans="1:1" s="24" customFormat="1">
      <c r="A175" s="30"/>
    </row>
    <row r="176" spans="1:1" s="24" customFormat="1">
      <c r="A176" s="30"/>
    </row>
    <row r="177" spans="1:1" s="24" customFormat="1">
      <c r="A177" s="30"/>
    </row>
    <row r="178" spans="1:1" s="24" customFormat="1">
      <c r="A178" s="30"/>
    </row>
    <row r="179" spans="1:1" s="24" customFormat="1">
      <c r="A179" s="30"/>
    </row>
    <row r="180" spans="1:1" s="24" customFormat="1">
      <c r="A180" s="30"/>
    </row>
    <row r="181" spans="1:1" s="24" customFormat="1">
      <c r="A181" s="30"/>
    </row>
    <row r="182" spans="1:1" s="24" customFormat="1">
      <c r="A182" s="30"/>
    </row>
    <row r="183" spans="1:1" s="24" customFormat="1">
      <c r="A183" s="30"/>
    </row>
    <row r="184" spans="1:1" s="24" customFormat="1">
      <c r="A184" s="30"/>
    </row>
    <row r="185" spans="1:1" s="24" customFormat="1">
      <c r="A185" s="30"/>
    </row>
    <row r="186" spans="1:1" s="24" customFormat="1">
      <c r="A186" s="30"/>
    </row>
    <row r="187" spans="1:1" s="24" customFormat="1">
      <c r="A187" s="30"/>
    </row>
    <row r="188" spans="1:1" s="24" customFormat="1">
      <c r="A188" s="30"/>
    </row>
    <row r="189" spans="1:1" s="24" customFormat="1">
      <c r="A189" s="30"/>
    </row>
    <row r="190" spans="1:1" s="24" customFormat="1">
      <c r="A190" s="30"/>
    </row>
    <row r="191" spans="1:1" s="24" customFormat="1">
      <c r="A191" s="30"/>
    </row>
    <row r="192" spans="1:1" s="24" customFormat="1">
      <c r="A192" s="30"/>
    </row>
    <row r="193" spans="1:1" s="24" customFormat="1">
      <c r="A193" s="30"/>
    </row>
    <row r="194" spans="1:1" s="24" customFormat="1">
      <c r="A194" s="30"/>
    </row>
    <row r="195" spans="1:1" s="24" customFormat="1">
      <c r="A195" s="30"/>
    </row>
    <row r="196" spans="1:1" s="24" customFormat="1">
      <c r="A196" s="30"/>
    </row>
    <row r="197" spans="1:1" s="24" customFormat="1">
      <c r="A197" s="30"/>
    </row>
    <row r="198" spans="1:1" s="24" customFormat="1">
      <c r="A198" s="30"/>
    </row>
    <row r="199" spans="1:1" s="24" customFormat="1">
      <c r="A199" s="30"/>
    </row>
    <row r="200" spans="1:1" s="24" customFormat="1">
      <c r="A200" s="30"/>
    </row>
    <row r="201" spans="1:1" s="24" customFormat="1">
      <c r="A201" s="30"/>
    </row>
    <row r="202" spans="1:1" s="24" customFormat="1">
      <c r="A202" s="30"/>
    </row>
    <row r="203" spans="1:1" s="24" customFormat="1">
      <c r="A203" s="30"/>
    </row>
    <row r="204" spans="1:1" s="24" customFormat="1">
      <c r="A204" s="30"/>
    </row>
    <row r="205" spans="1:1" s="24" customFormat="1">
      <c r="A205" s="30"/>
    </row>
    <row r="206" spans="1:1" s="24" customFormat="1">
      <c r="A206" s="30"/>
    </row>
    <row r="207" spans="1:1" s="24" customFormat="1">
      <c r="A207" s="30"/>
    </row>
    <row r="208" spans="1:1" s="24" customFormat="1">
      <c r="A208" s="30"/>
    </row>
    <row r="209" spans="1:1" s="24" customFormat="1">
      <c r="A209" s="30"/>
    </row>
    <row r="210" spans="1:1" s="24" customFormat="1">
      <c r="A210" s="30"/>
    </row>
    <row r="211" spans="1:1" s="24" customFormat="1">
      <c r="A211" s="30"/>
    </row>
    <row r="212" spans="1:1" s="24" customFormat="1">
      <c r="A212" s="30"/>
    </row>
    <row r="213" spans="1:1" s="24" customFormat="1">
      <c r="A213" s="30"/>
    </row>
    <row r="214" spans="1:1" s="24" customFormat="1">
      <c r="A214" s="30"/>
    </row>
    <row r="215" spans="1:1" s="24" customFormat="1">
      <c r="A215" s="30"/>
    </row>
    <row r="216" spans="1:1" s="24" customFormat="1">
      <c r="A216" s="30"/>
    </row>
    <row r="217" spans="1:1" s="24" customFormat="1">
      <c r="A217" s="30"/>
    </row>
    <row r="218" spans="1:1" s="24" customFormat="1">
      <c r="A218" s="30"/>
    </row>
    <row r="219" spans="1:1" s="24" customFormat="1">
      <c r="A219" s="30"/>
    </row>
    <row r="220" spans="1:1" s="24" customFormat="1">
      <c r="A220" s="30"/>
    </row>
    <row r="221" spans="1:1" s="24" customFormat="1">
      <c r="A221" s="30"/>
    </row>
    <row r="222" spans="1:1" s="24" customFormat="1">
      <c r="A222" s="30"/>
    </row>
    <row r="223" spans="1:1" s="24" customFormat="1">
      <c r="A223" s="30"/>
    </row>
    <row r="224" spans="1:1" s="24" customFormat="1">
      <c r="A224" s="30"/>
    </row>
    <row r="225" spans="1:1" s="24" customFormat="1">
      <c r="A225" s="30"/>
    </row>
    <row r="226" spans="1:1" s="24" customFormat="1">
      <c r="A226" s="30"/>
    </row>
    <row r="227" spans="1:1" s="24" customFormat="1">
      <c r="A227" s="30"/>
    </row>
    <row r="228" spans="1:1" s="24" customFormat="1">
      <c r="A228" s="30"/>
    </row>
    <row r="229" spans="1:1" s="24" customFormat="1">
      <c r="A229" s="30"/>
    </row>
    <row r="230" spans="1:1" s="24" customFormat="1">
      <c r="A230" s="30"/>
    </row>
    <row r="231" spans="1:1" s="24" customFormat="1">
      <c r="A231" s="30"/>
    </row>
    <row r="232" spans="1:1" s="24" customFormat="1">
      <c r="A232" s="30"/>
    </row>
    <row r="233" spans="1:1" s="24" customFormat="1">
      <c r="A233" s="30"/>
    </row>
    <row r="234" spans="1:1" s="24" customFormat="1">
      <c r="A234" s="30"/>
    </row>
    <row r="235" spans="1:1" s="24" customFormat="1">
      <c r="A235" s="30"/>
    </row>
    <row r="236" spans="1:1" s="24" customFormat="1">
      <c r="A236" s="30"/>
    </row>
    <row r="237" spans="1:1" s="24" customFormat="1">
      <c r="A237" s="30"/>
    </row>
    <row r="238" spans="1:1" s="24" customFormat="1">
      <c r="A238" s="30"/>
    </row>
    <row r="239" spans="1:1" s="24" customFormat="1">
      <c r="A239" s="30"/>
    </row>
    <row r="240" spans="1:1" s="24" customFormat="1">
      <c r="A240" s="30"/>
    </row>
    <row r="241" spans="1:1" s="24" customFormat="1">
      <c r="A241" s="30"/>
    </row>
    <row r="242" spans="1:1" s="24" customFormat="1">
      <c r="A242" s="30"/>
    </row>
    <row r="243" spans="1:1" s="24" customFormat="1">
      <c r="A243" s="30"/>
    </row>
    <row r="244" spans="1:1" s="24" customFormat="1">
      <c r="A244" s="30"/>
    </row>
    <row r="245" spans="1:1" s="24" customFormat="1">
      <c r="A245" s="30"/>
    </row>
    <row r="246" spans="1:1" s="24" customFormat="1">
      <c r="A246" s="30"/>
    </row>
    <row r="247" spans="1:1" s="24" customFormat="1">
      <c r="A247" s="30"/>
    </row>
    <row r="248" spans="1:1" s="24" customFormat="1">
      <c r="A248" s="30"/>
    </row>
    <row r="249" spans="1:1" s="24" customFormat="1">
      <c r="A249" s="30"/>
    </row>
    <row r="250" spans="1:1" s="24" customFormat="1">
      <c r="A250" s="30"/>
    </row>
    <row r="251" spans="1:1" s="24" customFormat="1">
      <c r="A251" s="30"/>
    </row>
    <row r="252" spans="1:1" s="24" customFormat="1">
      <c r="A252" s="30"/>
    </row>
    <row r="253" spans="1:1" s="24" customFormat="1">
      <c r="A253" s="30"/>
    </row>
    <row r="254" spans="1:1" s="24" customFormat="1">
      <c r="A254" s="30"/>
    </row>
    <row r="255" spans="1:1" s="24" customFormat="1">
      <c r="A255" s="30"/>
    </row>
    <row r="256" spans="1:1" s="24" customFormat="1">
      <c r="A256" s="30"/>
    </row>
    <row r="257" spans="1:1" s="24" customFormat="1">
      <c r="A257" s="30"/>
    </row>
    <row r="258" spans="1:1" s="24" customFormat="1">
      <c r="A258" s="30"/>
    </row>
    <row r="259" spans="1:1" s="24" customFormat="1">
      <c r="A259" s="30"/>
    </row>
    <row r="260" spans="1:1" s="24" customFormat="1">
      <c r="A260" s="30"/>
    </row>
    <row r="261" spans="1:1" s="24" customFormat="1">
      <c r="A261" s="30"/>
    </row>
    <row r="262" spans="1:1" s="24" customFormat="1">
      <c r="A262" s="30"/>
    </row>
    <row r="263" spans="1:1" s="24" customFormat="1">
      <c r="A263" s="30"/>
    </row>
    <row r="264" spans="1:1" s="24" customFormat="1">
      <c r="A264" s="30"/>
    </row>
    <row r="265" spans="1:1" s="24" customFormat="1">
      <c r="A265" s="30"/>
    </row>
    <row r="266" spans="1:1" s="24" customFormat="1">
      <c r="A266" s="30"/>
    </row>
    <row r="267" spans="1:1" s="24" customFormat="1">
      <c r="A267" s="30"/>
    </row>
    <row r="268" spans="1:1" s="24" customFormat="1">
      <c r="A268" s="30"/>
    </row>
    <row r="269" spans="1:1" s="24" customFormat="1">
      <c r="A269" s="30"/>
    </row>
    <row r="270" spans="1:1" s="24" customFormat="1">
      <c r="A270" s="30"/>
    </row>
    <row r="271" spans="1:1" s="24" customFormat="1">
      <c r="A271" s="30"/>
    </row>
    <row r="272" spans="1:1" s="24" customFormat="1">
      <c r="A272" s="30"/>
    </row>
    <row r="273" spans="1:1" s="24" customFormat="1">
      <c r="A273" s="30"/>
    </row>
    <row r="274" spans="1:1" s="24" customFormat="1">
      <c r="A274" s="30"/>
    </row>
    <row r="275" spans="1:1" s="24" customFormat="1">
      <c r="A275" s="30"/>
    </row>
    <row r="276" spans="1:1" s="24" customFormat="1">
      <c r="A276" s="30"/>
    </row>
    <row r="277" spans="1:1" s="24" customFormat="1">
      <c r="A277" s="30"/>
    </row>
    <row r="278" spans="1:1" s="24" customFormat="1">
      <c r="A278" s="30"/>
    </row>
    <row r="279" spans="1:1" s="24" customFormat="1">
      <c r="A279" s="30"/>
    </row>
    <row r="280" spans="1:1" s="24" customFormat="1">
      <c r="A280" s="30"/>
    </row>
    <row r="281" spans="1:1" s="24" customFormat="1">
      <c r="A281" s="30"/>
    </row>
    <row r="282" spans="1:1" s="24" customFormat="1">
      <c r="A282" s="30"/>
    </row>
    <row r="283" spans="1:1" s="24" customFormat="1">
      <c r="A283" s="30"/>
    </row>
    <row r="284" spans="1:1" s="24" customFormat="1">
      <c r="A284" s="30"/>
    </row>
    <row r="285" spans="1:1" s="24" customFormat="1">
      <c r="A285" s="30"/>
    </row>
    <row r="286" spans="1:1" s="24" customFormat="1">
      <c r="A286" s="30"/>
    </row>
    <row r="287" spans="1:1" s="24" customFormat="1">
      <c r="A287" s="30"/>
    </row>
    <row r="288" spans="1:1" s="24" customFormat="1">
      <c r="A288" s="30"/>
    </row>
    <row r="289" spans="1:1" s="24" customFormat="1">
      <c r="A289" s="30"/>
    </row>
    <row r="290" spans="1:1" s="24" customFormat="1">
      <c r="A290" s="30"/>
    </row>
    <row r="291" spans="1:1" s="24" customFormat="1">
      <c r="A291" s="30"/>
    </row>
    <row r="292" spans="1:1" s="24" customFormat="1">
      <c r="A292" s="30"/>
    </row>
    <row r="293" spans="1:1" s="24" customFormat="1">
      <c r="A293" s="30"/>
    </row>
    <row r="294" spans="1:1" s="24" customFormat="1">
      <c r="A294" s="30"/>
    </row>
    <row r="295" spans="1:1" s="24" customFormat="1">
      <c r="A295" s="30"/>
    </row>
    <row r="296" spans="1:1" s="24" customFormat="1">
      <c r="A296" s="30"/>
    </row>
    <row r="297" spans="1:1" s="24" customFormat="1">
      <c r="A297" s="30"/>
    </row>
    <row r="298" spans="1:1" s="24" customFormat="1">
      <c r="A298" s="30"/>
    </row>
    <row r="299" spans="1:1" s="24" customFormat="1">
      <c r="A299" s="30"/>
    </row>
    <row r="300" spans="1:1" s="24" customFormat="1">
      <c r="A300" s="30"/>
    </row>
    <row r="301" spans="1:1" s="24" customFormat="1">
      <c r="A301" s="30"/>
    </row>
    <row r="302" spans="1:1" s="24" customFormat="1">
      <c r="A302" s="30"/>
    </row>
    <row r="303" spans="1:1" s="24" customFormat="1">
      <c r="A303" s="30"/>
    </row>
    <row r="304" spans="1:1" s="24" customFormat="1">
      <c r="A304" s="30"/>
    </row>
    <row r="305" spans="1:1" s="24" customFormat="1">
      <c r="A305" s="30"/>
    </row>
    <row r="306" spans="1:1" s="24" customFormat="1">
      <c r="A306" s="30"/>
    </row>
    <row r="307" spans="1:1" s="24" customFormat="1">
      <c r="A307" s="30"/>
    </row>
    <row r="308" spans="1:1" s="24" customFormat="1">
      <c r="A308" s="30"/>
    </row>
    <row r="309" spans="1:1" s="24" customFormat="1">
      <c r="A309" s="30"/>
    </row>
    <row r="310" spans="1:1" s="24" customFormat="1">
      <c r="A310" s="30"/>
    </row>
    <row r="311" spans="1:1" s="24" customFormat="1">
      <c r="A311" s="30"/>
    </row>
    <row r="312" spans="1:1" s="24" customFormat="1">
      <c r="A312" s="30"/>
    </row>
    <row r="313" spans="1:1" s="24" customFormat="1">
      <c r="A313" s="30"/>
    </row>
    <row r="314" spans="1:1" s="24" customFormat="1">
      <c r="A314" s="30"/>
    </row>
    <row r="315" spans="1:1" s="24" customFormat="1">
      <c r="A315" s="30"/>
    </row>
    <row r="316" spans="1:1" s="24" customFormat="1">
      <c r="A316" s="30"/>
    </row>
    <row r="317" spans="1:1" s="24" customFormat="1">
      <c r="A317" s="30"/>
    </row>
    <row r="318" spans="1:1" s="24" customFormat="1">
      <c r="A318" s="30"/>
    </row>
    <row r="319" spans="1:1" s="24" customFormat="1">
      <c r="A319" s="30"/>
    </row>
    <row r="320" spans="1:1" s="24" customFormat="1">
      <c r="A320" s="30"/>
    </row>
    <row r="321" spans="1:1" s="24" customFormat="1">
      <c r="A321" s="30"/>
    </row>
    <row r="322" spans="1:1" s="24" customFormat="1">
      <c r="A322" s="30"/>
    </row>
    <row r="323" spans="1:1" s="24" customFormat="1">
      <c r="A323" s="30"/>
    </row>
    <row r="324" spans="1:1" s="24" customFormat="1">
      <c r="A324" s="30"/>
    </row>
    <row r="325" spans="1:1" s="24" customFormat="1">
      <c r="A325" s="30"/>
    </row>
    <row r="326" spans="1:1" s="24" customFormat="1">
      <c r="A326" s="30"/>
    </row>
    <row r="327" spans="1:1" s="24" customFormat="1">
      <c r="A327" s="30"/>
    </row>
    <row r="328" spans="1:1" s="24" customFormat="1">
      <c r="A328" s="30"/>
    </row>
    <row r="329" spans="1:1" s="24" customFormat="1">
      <c r="A329" s="30"/>
    </row>
    <row r="330" spans="1:1" s="24" customFormat="1">
      <c r="A330" s="30"/>
    </row>
    <row r="331" spans="1:1" s="24" customFormat="1">
      <c r="A331" s="30"/>
    </row>
    <row r="332" spans="1:1" s="24" customFormat="1">
      <c r="A332" s="30"/>
    </row>
    <row r="333" spans="1:1" s="24" customFormat="1">
      <c r="A333" s="30"/>
    </row>
    <row r="334" spans="1:1" s="24" customFormat="1">
      <c r="A334" s="30"/>
    </row>
    <row r="335" spans="1:1" s="24" customFormat="1">
      <c r="A335" s="30"/>
    </row>
    <row r="336" spans="1:1" s="24" customFormat="1">
      <c r="A336" s="30"/>
    </row>
    <row r="337" spans="1:1" s="24" customFormat="1">
      <c r="A337" s="30"/>
    </row>
    <row r="338" spans="1:1" s="24" customFormat="1">
      <c r="A338" s="30"/>
    </row>
    <row r="339" spans="1:1" s="24" customFormat="1">
      <c r="A339" s="30"/>
    </row>
    <row r="340" spans="1:1" s="24" customFormat="1">
      <c r="A340" s="30"/>
    </row>
    <row r="341" spans="1:1" s="24" customFormat="1">
      <c r="A341" s="30"/>
    </row>
    <row r="342" spans="1:1" s="24" customFormat="1">
      <c r="A342" s="30"/>
    </row>
    <row r="343" spans="1:1" s="24" customFormat="1">
      <c r="A343" s="30"/>
    </row>
    <row r="344" spans="1:1" s="24" customFormat="1">
      <c r="A344" s="30"/>
    </row>
    <row r="345" spans="1:1" s="24" customFormat="1">
      <c r="A345" s="30"/>
    </row>
    <row r="346" spans="1:1" s="24" customFormat="1">
      <c r="A346" s="30"/>
    </row>
    <row r="347" spans="1:1" s="24" customFormat="1">
      <c r="A347" s="30"/>
    </row>
    <row r="348" spans="1:1" s="24" customFormat="1">
      <c r="A348" s="30"/>
    </row>
    <row r="349" spans="1:1" s="24" customFormat="1">
      <c r="A349" s="30"/>
    </row>
    <row r="350" spans="1:1" s="24" customFormat="1">
      <c r="A350" s="30"/>
    </row>
    <row r="351" spans="1:1" s="24" customFormat="1">
      <c r="A351" s="30"/>
    </row>
    <row r="352" spans="1:1" s="24" customFormat="1">
      <c r="A352" s="30"/>
    </row>
    <row r="353" spans="1:1" s="24" customFormat="1">
      <c r="A353" s="30"/>
    </row>
    <row r="354" spans="1:1" s="24" customFormat="1">
      <c r="A354" s="30"/>
    </row>
    <row r="355" spans="1:1" s="24" customFormat="1">
      <c r="A355" s="30"/>
    </row>
    <row r="356" spans="1:1" s="24" customFormat="1">
      <c r="A356" s="30"/>
    </row>
    <row r="357" spans="1:1" s="24" customFormat="1">
      <c r="A357" s="30"/>
    </row>
    <row r="358" spans="1:1" s="24" customFormat="1">
      <c r="A358" s="30"/>
    </row>
    <row r="359" spans="1:1" s="24" customFormat="1">
      <c r="A359" s="30"/>
    </row>
    <row r="360" spans="1:1" s="24" customFormat="1">
      <c r="A360" s="30"/>
    </row>
    <row r="361" spans="1:1" s="24" customFormat="1">
      <c r="A361" s="30"/>
    </row>
    <row r="362" spans="1:1" s="24" customFormat="1">
      <c r="A362" s="30"/>
    </row>
    <row r="363" spans="1:1" s="24" customFormat="1">
      <c r="A363" s="30"/>
    </row>
    <row r="364" spans="1:1" s="24" customFormat="1">
      <c r="A364" s="30"/>
    </row>
    <row r="365" spans="1:1" s="24" customFormat="1">
      <c r="A365" s="30"/>
    </row>
    <row r="366" spans="1:1" s="24" customFormat="1">
      <c r="A366" s="30"/>
    </row>
    <row r="367" spans="1:1" s="24" customFormat="1">
      <c r="A367" s="30"/>
    </row>
    <row r="368" spans="1:1" s="24" customFormat="1">
      <c r="A368" s="30"/>
    </row>
    <row r="369" spans="1:1" s="24" customFormat="1">
      <c r="A369" s="30"/>
    </row>
    <row r="370" spans="1:1" s="24" customFormat="1">
      <c r="A370" s="30"/>
    </row>
    <row r="371" spans="1:1" s="24" customFormat="1">
      <c r="A371" s="30"/>
    </row>
    <row r="372" spans="1:1" s="24" customFormat="1">
      <c r="A372" s="30"/>
    </row>
    <row r="373" spans="1:1" s="24" customFormat="1">
      <c r="A373" s="30"/>
    </row>
    <row r="374" spans="1:1" s="24" customFormat="1">
      <c r="A374" s="30"/>
    </row>
    <row r="375" spans="1:1" s="24" customFormat="1">
      <c r="A375" s="30"/>
    </row>
    <row r="376" spans="1:1" s="24" customFormat="1">
      <c r="A376" s="30"/>
    </row>
    <row r="377" spans="1:1" s="24" customFormat="1">
      <c r="A377" s="30"/>
    </row>
    <row r="378" spans="1:1" s="24" customFormat="1">
      <c r="A378" s="30"/>
    </row>
    <row r="379" spans="1:1" s="24" customFormat="1">
      <c r="A379" s="30"/>
    </row>
    <row r="380" spans="1:1" s="24" customFormat="1">
      <c r="A380" s="30"/>
    </row>
    <row r="381" spans="1:1" s="24" customFormat="1">
      <c r="A381" s="30"/>
    </row>
    <row r="382" spans="1:1" s="24" customFormat="1">
      <c r="A382" s="30"/>
    </row>
    <row r="383" spans="1:1" s="24" customFormat="1">
      <c r="A383" s="30"/>
    </row>
    <row r="384" spans="1:1" s="24" customFormat="1">
      <c r="A384" s="30"/>
    </row>
    <row r="385" spans="1:1" s="24" customFormat="1">
      <c r="A385" s="30"/>
    </row>
    <row r="386" spans="1:1" s="24" customFormat="1">
      <c r="A386" s="30"/>
    </row>
    <row r="387" spans="1:1" s="24" customFormat="1">
      <c r="A387" s="30"/>
    </row>
    <row r="388" spans="1:1" s="24" customFormat="1">
      <c r="A388" s="30"/>
    </row>
    <row r="389" spans="1:1" s="24" customFormat="1">
      <c r="A389" s="30"/>
    </row>
    <row r="390" spans="1:1" s="24" customFormat="1">
      <c r="A390" s="30"/>
    </row>
    <row r="391" spans="1:1" s="24" customFormat="1">
      <c r="A391" s="30"/>
    </row>
    <row r="392" spans="1:1" s="24" customFormat="1">
      <c r="A392" s="30"/>
    </row>
    <row r="393" spans="1:1" s="24" customFormat="1">
      <c r="A393" s="30"/>
    </row>
    <row r="394" spans="1:1" s="24" customFormat="1">
      <c r="A394" s="30"/>
    </row>
    <row r="395" spans="1:1" s="24" customFormat="1">
      <c r="A395" s="30"/>
    </row>
    <row r="396" spans="1:1" s="24" customFormat="1">
      <c r="A396" s="30"/>
    </row>
    <row r="397" spans="1:1" s="24" customFormat="1">
      <c r="A397" s="30"/>
    </row>
    <row r="398" spans="1:1" s="24" customFormat="1">
      <c r="A398" s="30"/>
    </row>
    <row r="399" spans="1:1" s="24" customFormat="1">
      <c r="A399" s="30"/>
    </row>
    <row r="400" spans="1:1" s="24" customFormat="1">
      <c r="A400" s="30"/>
    </row>
    <row r="401" spans="1:1" s="24" customFormat="1">
      <c r="A401" s="30"/>
    </row>
    <row r="402" spans="1:1" s="24" customFormat="1">
      <c r="A402" s="30"/>
    </row>
    <row r="403" spans="1:1" s="24" customFormat="1">
      <c r="A403" s="30"/>
    </row>
    <row r="404" spans="1:1" s="24" customFormat="1">
      <c r="A404" s="30"/>
    </row>
    <row r="405" spans="1:1" s="24" customFormat="1">
      <c r="A405" s="30"/>
    </row>
    <row r="406" spans="1:1" s="24" customFormat="1">
      <c r="A406" s="30"/>
    </row>
    <row r="407" spans="1:1" s="24" customFormat="1">
      <c r="A407" s="30"/>
    </row>
    <row r="408" spans="1:1" s="24" customFormat="1">
      <c r="A408" s="30"/>
    </row>
    <row r="409" spans="1:1" s="24" customFormat="1">
      <c r="A409" s="30"/>
    </row>
    <row r="410" spans="1:1" s="24" customFormat="1">
      <c r="A410" s="30"/>
    </row>
    <row r="411" spans="1:1" s="24" customFormat="1">
      <c r="A411" s="30"/>
    </row>
    <row r="412" spans="1:1" s="24" customFormat="1">
      <c r="A412" s="30"/>
    </row>
    <row r="413" spans="1:1" s="24" customFormat="1">
      <c r="A413" s="30"/>
    </row>
    <row r="414" spans="1:1" s="24" customFormat="1">
      <c r="A414" s="30"/>
    </row>
    <row r="415" spans="1:1" s="24" customFormat="1">
      <c r="A415" s="30"/>
    </row>
    <row r="416" spans="1:1" s="24" customFormat="1">
      <c r="A416" s="30"/>
    </row>
    <row r="417" spans="1:1" s="24" customFormat="1">
      <c r="A417" s="30"/>
    </row>
    <row r="418" spans="1:1" s="24" customFormat="1">
      <c r="A418" s="30"/>
    </row>
    <row r="419" spans="1:1" s="24" customFormat="1">
      <c r="A419" s="30"/>
    </row>
    <row r="420" spans="1:1" s="24" customFormat="1">
      <c r="A420" s="30"/>
    </row>
    <row r="421" spans="1:1" s="24" customFormat="1">
      <c r="A421" s="30"/>
    </row>
    <row r="422" spans="1:1" s="24" customFormat="1">
      <c r="A422" s="30"/>
    </row>
    <row r="423" spans="1:1" s="24" customFormat="1">
      <c r="A423" s="30"/>
    </row>
    <row r="424" spans="1:1" s="24" customFormat="1">
      <c r="A424" s="30"/>
    </row>
    <row r="425" spans="1:1" s="24" customFormat="1">
      <c r="A425" s="30"/>
    </row>
    <row r="426" spans="1:1" s="24" customFormat="1">
      <c r="A426" s="30"/>
    </row>
    <row r="427" spans="1:1" s="24" customFormat="1">
      <c r="A427" s="30"/>
    </row>
    <row r="428" spans="1:1" s="24" customFormat="1">
      <c r="A428" s="30"/>
    </row>
    <row r="429" spans="1:1" s="24" customFormat="1">
      <c r="A429" s="30"/>
    </row>
    <row r="430" spans="1:1" s="24" customFormat="1">
      <c r="A430" s="30"/>
    </row>
    <row r="431" spans="1:1" s="24" customFormat="1">
      <c r="A431" s="30"/>
    </row>
    <row r="432" spans="1:1" s="24" customFormat="1">
      <c r="A432" s="30"/>
    </row>
    <row r="433" spans="1:1" s="24" customFormat="1">
      <c r="A433" s="30"/>
    </row>
  </sheetData>
  <mergeCells count="23">
    <mergeCell ref="J20:J21"/>
    <mergeCell ref="B61:F61"/>
    <mergeCell ref="B38:B45"/>
    <mergeCell ref="B46:F46"/>
    <mergeCell ref="B19:J19"/>
    <mergeCell ref="B30:F30"/>
    <mergeCell ref="B31:F31"/>
    <mergeCell ref="B35:H35"/>
    <mergeCell ref="B53:B60"/>
    <mergeCell ref="H36:H37"/>
    <mergeCell ref="C45:G45"/>
    <mergeCell ref="C29:I29"/>
    <mergeCell ref="H51:H52"/>
    <mergeCell ref="C60:G60"/>
    <mergeCell ref="B50:H50"/>
    <mergeCell ref="C3:E3"/>
    <mergeCell ref="C4:E4"/>
    <mergeCell ref="B2:E2"/>
    <mergeCell ref="B22:B29"/>
    <mergeCell ref="B6:G6"/>
    <mergeCell ref="B9:D9"/>
    <mergeCell ref="B13:E13"/>
    <mergeCell ref="B7:G7"/>
  </mergeCells>
  <hyperlinks>
    <hyperlink ref="G30" r:id="rId1" xr:uid="{00000000-0004-0000-1200-000000000000}"/>
  </hyperlinks>
  <pageMargins left="0.75" right="0.75" top="1" bottom="1" header="0.5" footer="0.5"/>
  <pageSetup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1:I378"/>
  <sheetViews>
    <sheetView showGridLines="0" topLeftCell="A342" zoomScaleNormal="100" workbookViewId="0">
      <selection activeCell="D273" sqref="D273"/>
    </sheetView>
  </sheetViews>
  <sheetFormatPr defaultRowHeight="13.15"/>
  <cols>
    <col min="1" max="1" width="1.85546875" customWidth="1"/>
    <col min="2" max="2" width="51.85546875" customWidth="1"/>
    <col min="3" max="3" width="30.140625" customWidth="1"/>
    <col min="4" max="6" width="24.42578125" customWidth="1"/>
    <col min="7" max="7" width="21.28515625" customWidth="1"/>
    <col min="10" max="10" width="73" customWidth="1"/>
  </cols>
  <sheetData>
    <row r="1" spans="2:9" ht="13.9" thickBot="1"/>
    <row r="2" spans="2:9" ht="24" customHeight="1" thickBot="1">
      <c r="B2" s="1671" t="s">
        <v>1</v>
      </c>
      <c r="C2" s="1688"/>
      <c r="D2" s="1689"/>
    </row>
    <row r="3" spans="2:9" ht="13.9" thickBot="1"/>
    <row r="4" spans="2:9" ht="37.15" customHeight="1" thickBot="1">
      <c r="B4" s="1695" t="s">
        <v>2</v>
      </c>
      <c r="C4" s="1696"/>
      <c r="D4" s="1697"/>
    </row>
    <row r="6" spans="2:9">
      <c r="C6" s="482" t="s">
        <v>3</v>
      </c>
    </row>
    <row r="7" spans="2:9">
      <c r="C7" s="1084" t="s">
        <v>4</v>
      </c>
    </row>
    <row r="8" spans="2:9">
      <c r="C8" s="1084" t="s">
        <v>5</v>
      </c>
    </row>
    <row r="9" spans="2:9">
      <c r="C9" s="1084" t="s">
        <v>6</v>
      </c>
    </row>
    <row r="11" spans="2:9" ht="13.9" thickBot="1"/>
    <row r="12" spans="2:9" ht="13.9" thickBot="1">
      <c r="B12" s="508" t="s">
        <v>7</v>
      </c>
      <c r="C12" s="895" t="s">
        <v>8</v>
      </c>
    </row>
    <row r="13" spans="2:9" ht="13.9" thickBot="1">
      <c r="B13" s="529"/>
    </row>
    <row r="14" spans="2:9" ht="13.9" thickBot="1">
      <c r="B14" s="508" t="s">
        <v>9</v>
      </c>
      <c r="C14" s="1056">
        <v>2022</v>
      </c>
    </row>
    <row r="15" spans="2:9" ht="13.9" thickBot="1">
      <c r="B15" s="529"/>
    </row>
    <row r="16" spans="2:9" ht="35.25" customHeight="1" thickBot="1">
      <c r="B16" s="1671" t="s">
        <v>4</v>
      </c>
      <c r="C16" s="1672"/>
      <c r="D16" s="1672"/>
      <c r="E16" s="1670"/>
      <c r="F16" s="472"/>
      <c r="G16" s="472"/>
      <c r="H16" s="472"/>
      <c r="I16" s="472"/>
    </row>
    <row r="17" spans="2:9" s="4" customFormat="1" ht="15" customHeight="1" thickBot="1">
      <c r="B17" s="1120"/>
      <c r="C17" s="1121"/>
      <c r="D17" s="1121"/>
      <c r="E17" s="5"/>
      <c r="F17" s="5"/>
      <c r="G17" s="5"/>
      <c r="H17" s="5"/>
      <c r="I17" s="5"/>
    </row>
    <row r="18" spans="2:9" s="4" customFormat="1" ht="28.5" customHeight="1" thickBot="1">
      <c r="B18" s="1698" t="s">
        <v>10</v>
      </c>
      <c r="C18" s="1699"/>
      <c r="D18" s="1699"/>
      <c r="E18" s="1700"/>
      <c r="F18" s="5"/>
      <c r="G18" s="5"/>
      <c r="H18" s="5"/>
      <c r="I18" s="5"/>
    </row>
    <row r="19" spans="2:9" ht="10.5" customHeight="1" thickBot="1"/>
    <row r="20" spans="2:9" ht="28.5" customHeight="1" thickBot="1">
      <c r="B20" s="504" t="s">
        <v>11</v>
      </c>
      <c r="C20" s="509" t="s">
        <v>12</v>
      </c>
    </row>
    <row r="21" spans="2:9" ht="42" customHeight="1" thickBot="1">
      <c r="B21" s="504" t="s">
        <v>13</v>
      </c>
      <c r="C21" s="509" t="s">
        <v>14</v>
      </c>
    </row>
    <row r="22" spans="2:9" ht="18" customHeight="1" thickBot="1"/>
    <row r="23" spans="2:9" ht="117" customHeight="1" thickBot="1">
      <c r="B23" s="1690" t="s">
        <v>15</v>
      </c>
      <c r="C23" s="1692"/>
    </row>
    <row r="24" spans="2:9">
      <c r="B24" s="1693" t="s">
        <v>16</v>
      </c>
      <c r="C24" s="1694"/>
    </row>
    <row r="25" spans="2:9" ht="26.45">
      <c r="B25" s="1470" t="s">
        <v>17</v>
      </c>
      <c r="C25" s="1468" t="s">
        <v>18</v>
      </c>
    </row>
    <row r="26" spans="2:9">
      <c r="B26" s="511" t="s">
        <v>19</v>
      </c>
      <c r="C26" s="1106">
        <v>1</v>
      </c>
    </row>
    <row r="27" spans="2:9" ht="12.75" customHeight="1" thickBot="1">
      <c r="B27" s="521" t="s">
        <v>20</v>
      </c>
      <c r="C27" s="1345">
        <v>0</v>
      </c>
    </row>
    <row r="28" spans="2:9" ht="13.9" thickBot="1"/>
    <row r="29" spans="2:9" ht="100.15" customHeight="1" thickBot="1">
      <c r="B29" s="1690" t="s">
        <v>21</v>
      </c>
      <c r="C29" s="1691"/>
      <c r="D29" s="513" t="s">
        <v>22</v>
      </c>
    </row>
    <row r="30" spans="2:9" ht="18.75" customHeight="1" thickBot="1">
      <c r="B30" s="1710" t="s">
        <v>23</v>
      </c>
      <c r="C30" s="1711"/>
      <c r="D30" s="1712"/>
    </row>
    <row r="31" spans="2:9" ht="39.6">
      <c r="B31" s="1178" t="s">
        <v>24</v>
      </c>
      <c r="C31" s="1179" t="s">
        <v>25</v>
      </c>
      <c r="D31" s="1467" t="s">
        <v>26</v>
      </c>
    </row>
    <row r="32" spans="2:9">
      <c r="B32" s="511" t="s">
        <v>27</v>
      </c>
      <c r="C32" s="514"/>
      <c r="D32" s="515"/>
    </row>
    <row r="33" spans="2:5">
      <c r="B33" s="511" t="s">
        <v>28</v>
      </c>
      <c r="C33" s="516"/>
      <c r="D33" s="517"/>
    </row>
    <row r="34" spans="2:5" ht="13.9" thickBot="1">
      <c r="B34" s="512" t="s">
        <v>29</v>
      </c>
      <c r="C34" s="1346">
        <f>SUM(C32:C33)</f>
        <v>0</v>
      </c>
      <c r="D34" s="1347">
        <f>SUM(D32:D33)</f>
        <v>0</v>
      </c>
    </row>
    <row r="35" spans="2:5" ht="13.9" thickBot="1">
      <c r="B35" s="1079"/>
      <c r="C35" s="1080"/>
      <c r="D35" s="1080"/>
    </row>
    <row r="36" spans="2:5" ht="145.5" customHeight="1" thickBot="1">
      <c r="B36" s="1713" t="s">
        <v>30</v>
      </c>
      <c r="C36" s="1714"/>
      <c r="D36" s="1097" t="s">
        <v>31</v>
      </c>
    </row>
    <row r="37" spans="2:5" ht="18" customHeight="1" thickBot="1">
      <c r="B37" s="1707" t="s">
        <v>32</v>
      </c>
      <c r="C37" s="1708"/>
      <c r="D37" s="1708"/>
      <c r="E37" s="1709"/>
    </row>
    <row r="38" spans="2:5" ht="39.6">
      <c r="B38" s="1081"/>
      <c r="C38" s="1082" t="s">
        <v>33</v>
      </c>
      <c r="D38" s="1098" t="s">
        <v>26</v>
      </c>
      <c r="E38" s="1083" t="s">
        <v>34</v>
      </c>
    </row>
    <row r="39" spans="2:5">
      <c r="B39" s="511" t="s">
        <v>35</v>
      </c>
      <c r="C39" s="1085"/>
      <c r="D39" s="1099"/>
      <c r="E39" s="1086"/>
    </row>
    <row r="40" spans="2:5">
      <c r="B40" s="511" t="s">
        <v>36</v>
      </c>
      <c r="C40" s="1090" t="s">
        <v>37</v>
      </c>
      <c r="D40" s="1100" t="s">
        <v>37</v>
      </c>
      <c r="E40" s="1102"/>
    </row>
    <row r="41" spans="2:5" ht="27" thickBot="1">
      <c r="B41" s="1088" t="s">
        <v>38</v>
      </c>
      <c r="C41" s="1091" t="s">
        <v>39</v>
      </c>
      <c r="D41" s="1101"/>
      <c r="E41" s="1092"/>
    </row>
    <row r="42" spans="2:5" ht="13.9" thickBot="1"/>
    <row r="43" spans="2:5" ht="153" customHeight="1" thickBot="1">
      <c r="B43" s="1668" t="s">
        <v>40</v>
      </c>
      <c r="C43" s="1669"/>
      <c r="D43" s="1670"/>
    </row>
    <row r="44" spans="2:5" ht="13.9" thickBot="1">
      <c r="B44" s="1682" t="s">
        <v>41</v>
      </c>
      <c r="C44" s="1717"/>
      <c r="D44" s="1717"/>
      <c r="E44" s="1670"/>
    </row>
    <row r="45" spans="2:5" ht="26.45">
      <c r="B45" s="1178" t="s">
        <v>17</v>
      </c>
      <c r="C45" s="518" t="s">
        <v>42</v>
      </c>
      <c r="D45" s="1179" t="s">
        <v>33</v>
      </c>
      <c r="E45" s="1467" t="s">
        <v>43</v>
      </c>
    </row>
    <row r="46" spans="2:5">
      <c r="B46" s="214" t="s">
        <v>44</v>
      </c>
      <c r="C46" s="1038" t="s">
        <v>45</v>
      </c>
      <c r="D46" s="1035"/>
      <c r="E46" s="1036"/>
    </row>
    <row r="47" spans="2:5">
      <c r="B47" s="118" t="s">
        <v>46</v>
      </c>
      <c r="C47" s="1038" t="s">
        <v>45</v>
      </c>
      <c r="D47" s="1037"/>
      <c r="E47" s="1032"/>
    </row>
    <row r="48" spans="2:5">
      <c r="B48" s="118" t="s">
        <v>47</v>
      </c>
      <c r="C48" s="1038" t="s">
        <v>45</v>
      </c>
      <c r="D48" s="1037"/>
      <c r="E48" s="1032"/>
    </row>
    <row r="49" spans="2:5">
      <c r="B49" s="519" t="s">
        <v>48</v>
      </c>
      <c r="C49" s="1038" t="s">
        <v>45</v>
      </c>
      <c r="D49" s="1039"/>
      <c r="E49" s="1040"/>
    </row>
    <row r="50" spans="2:5">
      <c r="B50" s="440" t="s">
        <v>49</v>
      </c>
      <c r="C50" s="523"/>
      <c r="D50" s="528">
        <f>SUM(D46:D49)</f>
        <v>0</v>
      </c>
      <c r="E50" s="524"/>
    </row>
    <row r="51" spans="2:5">
      <c r="B51" s="1144" t="s">
        <v>50</v>
      </c>
      <c r="C51" s="1495" t="s">
        <v>45</v>
      </c>
      <c r="D51" s="1030"/>
      <c r="E51" s="1036"/>
    </row>
    <row r="52" spans="2:5">
      <c r="B52" s="118" t="s">
        <v>51</v>
      </c>
      <c r="C52" s="1496" t="s">
        <v>45</v>
      </c>
      <c r="D52" s="1031"/>
      <c r="E52" s="1032"/>
    </row>
    <row r="53" spans="2:5">
      <c r="B53" s="118" t="s">
        <v>52</v>
      </c>
      <c r="C53" s="1496" t="s">
        <v>45</v>
      </c>
      <c r="D53" s="1031"/>
      <c r="E53" s="1032"/>
    </row>
    <row r="54" spans="2:5">
      <c r="B54" s="519" t="s">
        <v>53</v>
      </c>
      <c r="C54" s="1494" t="s">
        <v>45</v>
      </c>
      <c r="D54" s="1033"/>
      <c r="E54" s="1034"/>
    </row>
    <row r="55" spans="2:5" ht="13.9" thickBot="1">
      <c r="B55" s="512" t="s">
        <v>54</v>
      </c>
      <c r="C55" s="1348"/>
      <c r="D55" s="1349">
        <f>SUM(D51:D54)</f>
        <v>0</v>
      </c>
      <c r="E55" s="526"/>
    </row>
    <row r="56" spans="2:5" ht="13.9" thickBot="1">
      <c r="B56" s="525" t="s">
        <v>55</v>
      </c>
      <c r="C56" s="520"/>
      <c r="D56" s="351">
        <f>SUM(D50,D55)</f>
        <v>0</v>
      </c>
      <c r="E56" s="527"/>
    </row>
    <row r="57" spans="2:5" ht="16.5" customHeight="1" thickBot="1"/>
    <row r="58" spans="2:5" ht="98.45" customHeight="1" thickBot="1">
      <c r="B58" s="1668" t="s">
        <v>56</v>
      </c>
      <c r="C58" s="1669"/>
      <c r="D58" s="1670"/>
    </row>
    <row r="59" spans="2:5" ht="18" customHeight="1" thickBot="1">
      <c r="B59" s="1682" t="s">
        <v>57</v>
      </c>
      <c r="C59" s="1717"/>
      <c r="D59" s="1670"/>
    </row>
    <row r="60" spans="2:5" ht="39.6">
      <c r="B60" s="62" t="s">
        <v>24</v>
      </c>
      <c r="C60" s="1179" t="s">
        <v>33</v>
      </c>
      <c r="D60" s="1465" t="s">
        <v>58</v>
      </c>
    </row>
    <row r="61" spans="2:5">
      <c r="B61" s="214" t="s">
        <v>59</v>
      </c>
      <c r="C61" s="1274">
        <v>0</v>
      </c>
      <c r="D61" s="1176">
        <v>0</v>
      </c>
    </row>
    <row r="62" spans="2:5">
      <c r="B62" s="275" t="s">
        <v>60</v>
      </c>
      <c r="C62" s="1275">
        <v>0</v>
      </c>
      <c r="D62" s="1177">
        <v>0</v>
      </c>
    </row>
    <row r="63" spans="2:5" ht="13.9" thickBot="1">
      <c r="B63" s="521" t="s">
        <v>61</v>
      </c>
      <c r="C63" s="1346">
        <f>SUM(C61:C62)</f>
        <v>0</v>
      </c>
      <c r="D63" s="1076">
        <f>SUM(D61:D62)</f>
        <v>0</v>
      </c>
    </row>
    <row r="64" spans="2:5" ht="13.9" thickBot="1">
      <c r="B64" s="1119"/>
      <c r="C64" s="1080"/>
      <c r="D64" s="1080"/>
    </row>
    <row r="65" spans="2:5" ht="21.6" thickBot="1">
      <c r="B65" s="1698" t="s">
        <v>62</v>
      </c>
      <c r="C65" s="1699"/>
      <c r="D65" s="1699"/>
      <c r="E65" s="1700"/>
    </row>
    <row r="66" spans="2:5" ht="13.9" thickBot="1"/>
    <row r="67" spans="2:5" ht="261.60000000000002" customHeight="1" thickBot="1">
      <c r="B67" s="1690" t="s">
        <v>63</v>
      </c>
      <c r="C67" s="1691"/>
      <c r="D67" s="473" t="s">
        <v>64</v>
      </c>
    </row>
    <row r="68" spans="2:5" ht="19.5" customHeight="1" thickBot="1">
      <c r="B68" s="1682" t="s">
        <v>65</v>
      </c>
      <c r="C68" s="1715"/>
      <c r="D68" s="1716"/>
      <c r="E68" s="30"/>
    </row>
    <row r="69" spans="2:5" ht="26.45">
      <c r="B69" s="440" t="s">
        <v>66</v>
      </c>
      <c r="C69" s="441" t="s">
        <v>67</v>
      </c>
      <c r="D69" s="442" t="s">
        <v>68</v>
      </c>
      <c r="E69" s="30"/>
    </row>
    <row r="70" spans="2:5">
      <c r="B70" s="1276"/>
      <c r="C70" s="1277"/>
      <c r="D70" s="1278"/>
      <c r="E70" s="30"/>
    </row>
    <row r="71" spans="2:5">
      <c r="B71" s="1276"/>
      <c r="C71" s="1277"/>
      <c r="D71" s="1278"/>
      <c r="E71" s="30"/>
    </row>
    <row r="72" spans="2:5">
      <c r="B72" s="1276"/>
      <c r="C72" s="1277"/>
      <c r="D72" s="1278"/>
      <c r="E72" s="30"/>
    </row>
    <row r="73" spans="2:5">
      <c r="B73" s="1276"/>
      <c r="C73" s="1277"/>
      <c r="D73" s="1278"/>
      <c r="E73" s="30"/>
    </row>
    <row r="74" spans="2:5">
      <c r="B74" s="1276"/>
      <c r="C74" s="1277"/>
      <c r="D74" s="1278"/>
      <c r="E74" s="30"/>
    </row>
    <row r="75" spans="2:5">
      <c r="B75" s="1276"/>
      <c r="C75" s="1277"/>
      <c r="D75" s="1278"/>
      <c r="E75" s="30"/>
    </row>
    <row r="76" spans="2:5">
      <c r="B76" s="1276"/>
      <c r="C76" s="1277"/>
      <c r="D76" s="1278"/>
    </row>
    <row r="77" spans="2:5">
      <c r="B77" s="1276"/>
      <c r="C77" s="1277"/>
      <c r="D77" s="1278"/>
      <c r="E77" s="30"/>
    </row>
    <row r="78" spans="2:5">
      <c r="B78" s="1276"/>
      <c r="C78" s="1277"/>
      <c r="D78" s="1278"/>
      <c r="E78" s="30"/>
    </row>
    <row r="79" spans="2:5">
      <c r="B79" s="1276"/>
      <c r="C79" s="1277"/>
      <c r="D79" s="1278"/>
      <c r="E79" s="30"/>
    </row>
    <row r="80" spans="2:5">
      <c r="B80" s="1276"/>
      <c r="C80" s="1277"/>
      <c r="D80" s="1278"/>
      <c r="E80" s="30"/>
    </row>
    <row r="81" spans="2:5">
      <c r="B81" s="1276"/>
      <c r="C81" s="1277"/>
      <c r="D81" s="1278"/>
      <c r="E81" s="30"/>
    </row>
    <row r="82" spans="2:5">
      <c r="B82" s="1276"/>
      <c r="C82" s="1277"/>
      <c r="D82" s="1278"/>
      <c r="E82" s="30"/>
    </row>
    <row r="83" spans="2:5">
      <c r="B83" s="1276"/>
      <c r="C83" s="1277"/>
      <c r="D83" s="1278"/>
      <c r="E83" s="30"/>
    </row>
    <row r="84" spans="2:5">
      <c r="B84" s="1276"/>
      <c r="C84" s="1277"/>
      <c r="D84" s="1278"/>
      <c r="E84" s="30"/>
    </row>
    <row r="85" spans="2:5">
      <c r="B85" s="1276"/>
      <c r="C85" s="1277"/>
      <c r="D85" s="1278"/>
      <c r="E85" s="30"/>
    </row>
    <row r="86" spans="2:5">
      <c r="B86" s="1145"/>
      <c r="C86" s="1277"/>
      <c r="D86" s="1278"/>
      <c r="E86" s="30"/>
    </row>
    <row r="87" spans="2:5">
      <c r="B87" s="1145"/>
      <c r="C87" s="1277"/>
      <c r="D87" s="1278"/>
      <c r="E87" s="30"/>
    </row>
    <row r="88" spans="2:5">
      <c r="B88" s="1145"/>
      <c r="C88" s="1277"/>
      <c r="D88" s="1278"/>
      <c r="E88" s="30"/>
    </row>
    <row r="89" spans="2:5">
      <c r="B89" s="1145"/>
      <c r="C89" s="1277"/>
      <c r="D89" s="1278"/>
      <c r="E89" s="30"/>
    </row>
    <row r="90" spans="2:5">
      <c r="B90" s="1145"/>
      <c r="C90" s="1277"/>
      <c r="D90" s="1278"/>
      <c r="E90" s="30"/>
    </row>
    <row r="91" spans="2:5">
      <c r="B91" s="1145"/>
      <c r="C91" s="1277"/>
      <c r="D91" s="1278"/>
      <c r="E91" s="30"/>
    </row>
    <row r="92" spans="2:5">
      <c r="B92" s="1145"/>
      <c r="C92" s="1277"/>
      <c r="D92" s="1278"/>
      <c r="E92" s="30"/>
    </row>
    <row r="93" spans="2:5">
      <c r="B93" s="1145"/>
      <c r="C93" s="1277"/>
      <c r="D93" s="1278"/>
      <c r="E93" s="30"/>
    </row>
    <row r="94" spans="2:5">
      <c r="B94" s="1145"/>
      <c r="C94" s="1277"/>
      <c r="D94" s="1278"/>
      <c r="E94" s="30"/>
    </row>
    <row r="95" spans="2:5">
      <c r="B95" s="1145"/>
      <c r="C95" s="1277"/>
      <c r="D95" s="1278"/>
      <c r="E95" s="30"/>
    </row>
    <row r="96" spans="2:5">
      <c r="B96" s="1145"/>
      <c r="C96" s="1277"/>
      <c r="D96" s="1278"/>
      <c r="E96" s="30"/>
    </row>
    <row r="97" spans="2:5">
      <c r="B97" s="1145"/>
      <c r="C97" s="1277"/>
      <c r="D97" s="1278"/>
      <c r="E97" s="30"/>
    </row>
    <row r="98" spans="2:5">
      <c r="B98" s="1145"/>
      <c r="C98" s="1277"/>
      <c r="D98" s="1278"/>
      <c r="E98" s="30"/>
    </row>
    <row r="99" spans="2:5">
      <c r="B99" s="1145"/>
      <c r="C99" s="1277"/>
      <c r="D99" s="1278"/>
      <c r="E99" s="30"/>
    </row>
    <row r="100" spans="2:5">
      <c r="B100" s="1284"/>
      <c r="C100" s="1277"/>
      <c r="D100" s="1278"/>
      <c r="E100" s="30"/>
    </row>
    <row r="101" spans="2:5">
      <c r="B101" s="1284"/>
      <c r="C101" s="1277"/>
      <c r="D101" s="1278"/>
      <c r="E101" s="30"/>
    </row>
    <row r="102" spans="2:5">
      <c r="B102" s="1284"/>
      <c r="C102" s="1277"/>
      <c r="D102" s="1278"/>
      <c r="E102" s="30"/>
    </row>
    <row r="103" spans="2:5">
      <c r="B103" s="1284"/>
      <c r="C103" s="1277"/>
      <c r="D103" s="1278"/>
      <c r="E103" s="30"/>
    </row>
    <row r="104" spans="2:5">
      <c r="B104" s="1284"/>
      <c r="C104" s="1277"/>
      <c r="D104" s="1278"/>
      <c r="E104" s="30"/>
    </row>
    <row r="105" spans="2:5">
      <c r="B105" s="1284"/>
      <c r="C105" s="1277"/>
      <c r="D105" s="1278"/>
      <c r="E105" s="30"/>
    </row>
    <row r="106" spans="2:5">
      <c r="B106" s="1284"/>
      <c r="C106" s="1277"/>
      <c r="D106" s="1278"/>
      <c r="E106" s="30"/>
    </row>
    <row r="107" spans="2:5">
      <c r="B107" s="1284"/>
      <c r="C107" s="1277"/>
      <c r="D107" s="1278"/>
      <c r="E107" s="30"/>
    </row>
    <row r="108" spans="2:5">
      <c r="B108" s="1284"/>
      <c r="C108" s="1277"/>
      <c r="D108" s="1278"/>
      <c r="E108" s="30"/>
    </row>
    <row r="109" spans="2:5">
      <c r="B109" s="1284"/>
      <c r="C109" s="1277"/>
      <c r="D109" s="1278"/>
      <c r="E109" s="30"/>
    </row>
    <row r="110" spans="2:5">
      <c r="B110" s="1284"/>
      <c r="C110" s="1277"/>
      <c r="D110" s="1278"/>
      <c r="E110" s="30"/>
    </row>
    <row r="111" spans="2:5">
      <c r="B111" s="1284"/>
      <c r="C111" s="1277"/>
      <c r="D111" s="1278"/>
      <c r="E111" s="30"/>
    </row>
    <row r="112" spans="2:5">
      <c r="B112" s="1284"/>
      <c r="C112" s="1277"/>
      <c r="D112" s="1278"/>
      <c r="E112" s="30"/>
    </row>
    <row r="113" spans="2:5">
      <c r="B113" s="1284"/>
      <c r="C113" s="1277"/>
      <c r="D113" s="1278"/>
      <c r="E113" s="30"/>
    </row>
    <row r="114" spans="2:5">
      <c r="B114" s="1284"/>
      <c r="C114" s="1277"/>
      <c r="D114" s="1278"/>
      <c r="E114" s="30"/>
    </row>
    <row r="115" spans="2:5">
      <c r="B115" s="1284"/>
      <c r="C115" s="1277"/>
      <c r="D115" s="1278"/>
      <c r="E115" s="30"/>
    </row>
    <row r="116" spans="2:5">
      <c r="B116" s="1284"/>
      <c r="C116" s="1277"/>
      <c r="D116" s="1278"/>
      <c r="E116" s="30"/>
    </row>
    <row r="117" spans="2:5">
      <c r="B117" s="1284"/>
      <c r="C117" s="1277"/>
      <c r="D117" s="1278"/>
      <c r="E117" s="30"/>
    </row>
    <row r="118" spans="2:5">
      <c r="B118" s="1284"/>
      <c r="C118" s="1277"/>
      <c r="D118" s="1278"/>
      <c r="E118" s="30"/>
    </row>
    <row r="119" spans="2:5">
      <c r="B119" s="1284"/>
      <c r="C119" s="1277"/>
      <c r="D119" s="1278"/>
      <c r="E119" s="30"/>
    </row>
    <row r="120" spans="2:5">
      <c r="B120" s="1284"/>
      <c r="C120" s="1277"/>
      <c r="D120" s="1278"/>
      <c r="E120" s="30"/>
    </row>
    <row r="121" spans="2:5">
      <c r="B121" s="1284"/>
      <c r="C121" s="1277"/>
      <c r="D121" s="1278"/>
      <c r="E121" s="30"/>
    </row>
    <row r="122" spans="2:5">
      <c r="B122" s="1284"/>
      <c r="C122" s="1277"/>
      <c r="D122" s="1278"/>
      <c r="E122" s="30"/>
    </row>
    <row r="123" spans="2:5">
      <c r="B123" s="1284"/>
      <c r="C123" s="1277"/>
      <c r="D123" s="1278"/>
      <c r="E123" s="30"/>
    </row>
    <row r="124" spans="2:5">
      <c r="B124" s="1284"/>
      <c r="C124" s="1277"/>
      <c r="D124" s="1278"/>
      <c r="E124" s="30"/>
    </row>
    <row r="125" spans="2:5">
      <c r="B125" s="1284"/>
      <c r="C125" s="1277"/>
      <c r="D125" s="1278"/>
      <c r="E125" s="30"/>
    </row>
    <row r="126" spans="2:5">
      <c r="B126" s="1284"/>
      <c r="C126" s="1277"/>
      <c r="D126" s="1278"/>
      <c r="E126" s="30"/>
    </row>
    <row r="127" spans="2:5">
      <c r="B127" s="1284"/>
      <c r="C127" s="1277"/>
      <c r="D127" s="1278"/>
      <c r="E127" s="30"/>
    </row>
    <row r="128" spans="2:5">
      <c r="B128" s="1284"/>
      <c r="C128" s="1277"/>
      <c r="D128" s="1278"/>
      <c r="E128" s="30"/>
    </row>
    <row r="129" spans="2:5">
      <c r="B129" s="1284"/>
      <c r="C129" s="1277"/>
      <c r="D129" s="1278"/>
      <c r="E129" s="30"/>
    </row>
    <row r="130" spans="2:5">
      <c r="B130" s="1284"/>
      <c r="C130" s="1277"/>
      <c r="D130" s="1278"/>
      <c r="E130" s="30"/>
    </row>
    <row r="131" spans="2:5">
      <c r="B131" s="1284"/>
      <c r="C131" s="1277"/>
      <c r="D131" s="1278"/>
      <c r="E131" s="30"/>
    </row>
    <row r="132" spans="2:5">
      <c r="B132" s="1284"/>
      <c r="C132" s="1277"/>
      <c r="D132" s="1278"/>
      <c r="E132" s="30"/>
    </row>
    <row r="133" spans="2:5">
      <c r="B133" s="1284"/>
      <c r="C133" s="1277"/>
      <c r="D133" s="1278"/>
      <c r="E133" s="30"/>
    </row>
    <row r="134" spans="2:5">
      <c r="B134" s="1284"/>
      <c r="C134" s="1277"/>
      <c r="D134" s="1278"/>
      <c r="E134" s="30"/>
    </row>
    <row r="135" spans="2:5">
      <c r="B135" s="1284"/>
      <c r="C135" s="1277"/>
      <c r="D135" s="1278"/>
      <c r="E135" s="30"/>
    </row>
    <row r="136" spans="2:5">
      <c r="B136" s="1284"/>
      <c r="C136" s="1277"/>
      <c r="D136" s="1278"/>
      <c r="E136" s="30"/>
    </row>
    <row r="137" spans="2:5">
      <c r="B137" s="1284"/>
      <c r="C137" s="1277"/>
      <c r="D137" s="1278"/>
      <c r="E137" s="30"/>
    </row>
    <row r="138" spans="2:5">
      <c r="B138" s="1284"/>
      <c r="C138" s="1277"/>
      <c r="D138" s="1278"/>
      <c r="E138" s="30"/>
    </row>
    <row r="139" spans="2:5">
      <c r="B139" s="1284"/>
      <c r="C139" s="1277"/>
      <c r="D139" s="1278"/>
      <c r="E139" s="30"/>
    </row>
    <row r="140" spans="2:5">
      <c r="B140" s="1284"/>
      <c r="C140" s="1277"/>
      <c r="D140" s="1278"/>
      <c r="E140" s="30"/>
    </row>
    <row r="141" spans="2:5">
      <c r="B141" s="1284"/>
      <c r="C141" s="1277"/>
      <c r="D141" s="1278"/>
      <c r="E141" s="30"/>
    </row>
    <row r="142" spans="2:5">
      <c r="B142" s="1284"/>
      <c r="C142" s="1277"/>
      <c r="D142" s="1278"/>
      <c r="E142" s="30"/>
    </row>
    <row r="143" spans="2:5">
      <c r="B143" s="1284"/>
      <c r="C143" s="1277"/>
      <c r="D143" s="1278"/>
      <c r="E143" s="30"/>
    </row>
    <row r="144" spans="2:5">
      <c r="B144" s="1284"/>
      <c r="C144" s="1277"/>
      <c r="D144" s="1278"/>
      <c r="E144" s="30"/>
    </row>
    <row r="145" spans="2:5">
      <c r="B145" s="1284"/>
      <c r="C145" s="1277"/>
      <c r="D145" s="1278"/>
      <c r="E145" s="30"/>
    </row>
    <row r="146" spans="2:5">
      <c r="B146" s="1284"/>
      <c r="C146" s="1277"/>
      <c r="D146" s="1278"/>
      <c r="E146" s="30"/>
    </row>
    <row r="147" spans="2:5">
      <c r="B147" s="1284"/>
      <c r="C147" s="1277"/>
      <c r="D147" s="1278"/>
      <c r="E147" s="30"/>
    </row>
    <row r="148" spans="2:5">
      <c r="B148" s="1284"/>
      <c r="C148" s="1277"/>
      <c r="D148" s="1278"/>
      <c r="E148" s="30"/>
    </row>
    <row r="149" spans="2:5">
      <c r="B149" s="1284"/>
      <c r="C149" s="1277"/>
      <c r="D149" s="1278"/>
      <c r="E149" s="30"/>
    </row>
    <row r="150" spans="2:5">
      <c r="B150" s="1284"/>
      <c r="C150" s="1277"/>
      <c r="D150" s="1278"/>
      <c r="E150" s="30"/>
    </row>
    <row r="151" spans="2:5">
      <c r="B151" s="1284"/>
      <c r="C151" s="1277"/>
      <c r="D151" s="1278"/>
      <c r="E151" s="30"/>
    </row>
    <row r="152" spans="2:5">
      <c r="B152" s="1284"/>
      <c r="C152" s="1277"/>
      <c r="D152" s="1278"/>
      <c r="E152" s="30"/>
    </row>
    <row r="153" spans="2:5">
      <c r="B153" s="1284"/>
      <c r="C153" s="1277"/>
      <c r="D153" s="1278"/>
      <c r="E153" s="30"/>
    </row>
    <row r="154" spans="2:5">
      <c r="B154" s="1284"/>
      <c r="C154" s="1277"/>
      <c r="D154" s="1278"/>
      <c r="E154" s="30"/>
    </row>
    <row r="155" spans="2:5">
      <c r="B155" s="1284"/>
      <c r="C155" s="1277"/>
      <c r="D155" s="1278"/>
      <c r="E155" s="30"/>
    </row>
    <row r="156" spans="2:5">
      <c r="B156" s="1284"/>
      <c r="C156" s="1277"/>
      <c r="D156" s="1278"/>
      <c r="E156" s="30"/>
    </row>
    <row r="157" spans="2:5">
      <c r="B157" s="1284"/>
      <c r="C157" s="1277"/>
      <c r="D157" s="1278"/>
      <c r="E157" s="30"/>
    </row>
    <row r="158" spans="2:5">
      <c r="B158" s="1284"/>
      <c r="C158" s="1277"/>
      <c r="D158" s="1278"/>
      <c r="E158" s="30"/>
    </row>
    <row r="159" spans="2:5">
      <c r="B159" s="1284"/>
      <c r="C159" s="1277"/>
      <c r="D159" s="1278"/>
      <c r="E159" s="30"/>
    </row>
    <row r="160" spans="2:5">
      <c r="B160" s="1284"/>
      <c r="C160" s="1277"/>
      <c r="D160" s="1278"/>
      <c r="E160" s="30"/>
    </row>
    <row r="161" spans="2:5">
      <c r="B161" s="1284"/>
      <c r="C161" s="1277"/>
      <c r="D161" s="1278"/>
      <c r="E161" s="30"/>
    </row>
    <row r="162" spans="2:5">
      <c r="B162" s="1284"/>
      <c r="C162" s="1277"/>
      <c r="D162" s="1278"/>
      <c r="E162" s="30"/>
    </row>
    <row r="163" spans="2:5">
      <c r="B163" s="1284"/>
      <c r="C163" s="1277"/>
      <c r="D163" s="1278"/>
      <c r="E163" s="30"/>
    </row>
    <row r="164" spans="2:5">
      <c r="B164" s="1284"/>
      <c r="C164" s="1277"/>
      <c r="D164" s="1278"/>
      <c r="E164" s="30"/>
    </row>
    <row r="165" spans="2:5">
      <c r="B165" s="1284"/>
      <c r="C165" s="1277"/>
      <c r="D165" s="1278"/>
      <c r="E165" s="30"/>
    </row>
    <row r="166" spans="2:5">
      <c r="B166" s="1284"/>
      <c r="C166" s="1277"/>
      <c r="D166" s="1278"/>
      <c r="E166" s="30"/>
    </row>
    <row r="167" spans="2:5">
      <c r="B167" s="1284"/>
      <c r="C167" s="1277"/>
      <c r="D167" s="1278"/>
      <c r="E167" s="30"/>
    </row>
    <row r="168" spans="2:5">
      <c r="B168" s="1284"/>
      <c r="C168" s="1277"/>
      <c r="D168" s="1278"/>
      <c r="E168" s="30"/>
    </row>
    <row r="169" spans="2:5">
      <c r="B169" s="1284"/>
      <c r="C169" s="1285"/>
      <c r="D169" s="1146"/>
      <c r="E169" s="30"/>
    </row>
    <row r="170" spans="2:5">
      <c r="B170" s="1284"/>
      <c r="C170" s="1285"/>
      <c r="D170" s="1146"/>
      <c r="E170" s="30"/>
    </row>
    <row r="171" spans="2:5">
      <c r="B171" s="1284"/>
      <c r="C171" s="1285"/>
      <c r="D171" s="1146"/>
      <c r="E171" s="30"/>
    </row>
    <row r="172" spans="2:5">
      <c r="B172" s="1284"/>
      <c r="C172" s="1285"/>
      <c r="D172" s="1146"/>
      <c r="E172" s="30"/>
    </row>
    <row r="173" spans="2:5" ht="13.9" thickBot="1">
      <c r="B173" s="1286"/>
      <c r="C173" s="1350"/>
      <c r="D173" s="1351"/>
      <c r="E173" s="30"/>
    </row>
    <row r="174" spans="2:5" ht="13.9" thickBot="1">
      <c r="B174" s="1287"/>
      <c r="C174" s="1287"/>
      <c r="D174" s="1287"/>
      <c r="E174" s="30"/>
    </row>
    <row r="175" spans="2:5" ht="126" customHeight="1" thickBot="1">
      <c r="B175" s="1690" t="s">
        <v>69</v>
      </c>
      <c r="C175" s="1691"/>
      <c r="D175" s="461" t="s">
        <v>70</v>
      </c>
      <c r="E175" s="30"/>
    </row>
    <row r="176" spans="2:5" ht="109.5" customHeight="1" thickBot="1">
      <c r="B176" s="1705" t="s">
        <v>71</v>
      </c>
      <c r="C176" s="1706"/>
      <c r="D176" s="435" t="s">
        <v>72</v>
      </c>
      <c r="E176" s="30"/>
    </row>
    <row r="177" spans="2:5" ht="13.9" thickBot="1">
      <c r="B177" s="94"/>
      <c r="C177" s="482"/>
      <c r="E177" s="30"/>
    </row>
    <row r="178" spans="2:5" ht="30.75" customHeight="1" thickBot="1">
      <c r="B178" s="1703" t="s">
        <v>73</v>
      </c>
      <c r="C178" s="1704"/>
      <c r="D178" s="94"/>
      <c r="E178" s="30"/>
    </row>
    <row r="179" spans="2:5" ht="26.45">
      <c r="B179" s="611" t="s">
        <v>74</v>
      </c>
      <c r="C179" s="450" t="s">
        <v>75</v>
      </c>
      <c r="E179" s="30"/>
    </row>
    <row r="180" spans="2:5">
      <c r="B180" s="612" t="s">
        <v>76</v>
      </c>
      <c r="C180" s="1279"/>
      <c r="E180" s="30"/>
    </row>
    <row r="181" spans="2:5">
      <c r="B181" s="612" t="s">
        <v>77</v>
      </c>
      <c r="C181" s="1280"/>
      <c r="E181" s="30"/>
    </row>
    <row r="182" spans="2:5">
      <c r="B182" s="612" t="s">
        <v>78</v>
      </c>
      <c r="C182" s="1280"/>
      <c r="E182" s="30"/>
    </row>
    <row r="183" spans="2:5">
      <c r="B183" s="612" t="s">
        <v>79</v>
      </c>
      <c r="C183" s="1280"/>
      <c r="E183" s="30"/>
    </row>
    <row r="184" spans="2:5">
      <c r="B184" s="612" t="s">
        <v>80</v>
      </c>
      <c r="C184" s="1280"/>
      <c r="E184" s="30"/>
    </row>
    <row r="185" spans="2:5">
      <c r="B185" s="612" t="s">
        <v>81</v>
      </c>
      <c r="C185" s="1280"/>
      <c r="E185" s="30"/>
    </row>
    <row r="186" spans="2:5">
      <c r="B186" s="612" t="s">
        <v>82</v>
      </c>
      <c r="C186" s="1280"/>
      <c r="E186" s="30"/>
    </row>
    <row r="187" spans="2:5" ht="13.9" thickBot="1">
      <c r="B187" s="613" t="s">
        <v>83</v>
      </c>
      <c r="C187" s="1352"/>
      <c r="E187" s="30"/>
    </row>
    <row r="188" spans="2:5" ht="26.45">
      <c r="B188" s="614" t="s">
        <v>84</v>
      </c>
      <c r="C188" s="450" t="s">
        <v>85</v>
      </c>
      <c r="E188" s="30"/>
    </row>
    <row r="189" spans="2:5" ht="13.9" thickBot="1">
      <c r="B189" s="613" t="s">
        <v>86</v>
      </c>
      <c r="C189" s="1353"/>
      <c r="D189" s="1471"/>
      <c r="E189" s="30"/>
    </row>
    <row r="190" spans="2:5" ht="13.9" thickBot="1">
      <c r="B190" s="1287"/>
      <c r="C190" s="1287"/>
      <c r="D190" s="1287"/>
      <c r="E190" s="30"/>
    </row>
    <row r="191" spans="2:5" s="4" customFormat="1" ht="21.6" thickBot="1">
      <c r="B191" s="1698" t="s">
        <v>87</v>
      </c>
      <c r="C191" s="1699"/>
      <c r="D191" s="1699"/>
      <c r="E191" s="1700"/>
    </row>
    <row r="192" spans="2:5" ht="13.9" thickBot="1"/>
    <row r="193" spans="2:6" ht="350.45" customHeight="1">
      <c r="B193" s="1701" t="s">
        <v>88</v>
      </c>
      <c r="C193" s="1702"/>
      <c r="D193" s="463" t="s">
        <v>89</v>
      </c>
      <c r="E193" s="1060" t="s">
        <v>90</v>
      </c>
    </row>
    <row r="194" spans="2:6" ht="347.45" customHeight="1">
      <c r="B194" s="1701" t="s">
        <v>91</v>
      </c>
      <c r="C194" s="1702"/>
      <c r="D194" s="463" t="s">
        <v>89</v>
      </c>
      <c r="E194" s="1060" t="s">
        <v>90</v>
      </c>
    </row>
    <row r="195" spans="2:6" ht="138.6" customHeight="1" thickBot="1">
      <c r="B195" s="1684" t="s">
        <v>92</v>
      </c>
      <c r="C195" s="1685"/>
      <c r="D195" s="1133" t="s">
        <v>93</v>
      </c>
    </row>
    <row r="196" spans="2:6" ht="101.25" customHeight="1" thickBot="1">
      <c r="B196" s="1684" t="s">
        <v>94</v>
      </c>
      <c r="C196" s="1685"/>
      <c r="D196" s="1133" t="s">
        <v>95</v>
      </c>
      <c r="E196" s="1586"/>
    </row>
    <row r="197" spans="2:6" ht="21.75" customHeight="1" thickBot="1">
      <c r="B197" s="1664" t="s">
        <v>96</v>
      </c>
      <c r="C197" s="1665"/>
      <c r="D197" s="1666"/>
    </row>
    <row r="198" spans="2:6">
      <c r="B198" s="1178" t="s">
        <v>97</v>
      </c>
      <c r="C198" s="1179" t="s">
        <v>98</v>
      </c>
      <c r="D198" s="1467" t="s">
        <v>99</v>
      </c>
      <c r="E198" s="474"/>
      <c r="F198" s="5"/>
    </row>
    <row r="199" spans="2:6">
      <c r="B199" s="462" t="s">
        <v>100</v>
      </c>
      <c r="C199" s="1112"/>
      <c r="D199" s="1113"/>
      <c r="E199" s="41"/>
      <c r="F199" s="6"/>
    </row>
    <row r="200" spans="2:6">
      <c r="B200" s="462" t="s">
        <v>101</v>
      </c>
      <c r="C200" s="1112"/>
      <c r="D200" s="1117"/>
      <c r="E200" s="4"/>
      <c r="F200" s="4"/>
    </row>
    <row r="201" spans="2:6">
      <c r="B201" s="462" t="s">
        <v>102</v>
      </c>
      <c r="C201" s="1114"/>
      <c r="D201" s="1522"/>
      <c r="E201" s="1084"/>
    </row>
    <row r="202" spans="2:6" ht="13.9" thickBot="1">
      <c r="B202" s="1273" t="s">
        <v>103</v>
      </c>
      <c r="C202" s="1568"/>
      <c r="D202" s="1569"/>
      <c r="F202" s="1471"/>
    </row>
    <row r="203" spans="2:6" ht="13.9" thickBot="1"/>
    <row r="204" spans="2:6" ht="104.25" customHeight="1" thickBot="1">
      <c r="B204" s="1678" t="s">
        <v>104</v>
      </c>
      <c r="C204" s="1679"/>
      <c r="D204" s="463" t="s">
        <v>105</v>
      </c>
    </row>
    <row r="205" spans="2:6" ht="14.45" thickBot="1">
      <c r="B205" s="1664" t="s">
        <v>106</v>
      </c>
      <c r="C205" s="1680"/>
      <c r="D205" s="1670"/>
    </row>
    <row r="206" spans="2:6" ht="13.9" thickBot="1">
      <c r="B206" s="1122" t="s">
        <v>107</v>
      </c>
      <c r="C206" s="1718" t="s">
        <v>108</v>
      </c>
      <c r="D206" s="1719"/>
    </row>
    <row r="207" spans="2:6">
      <c r="B207" s="1123" t="s">
        <v>109</v>
      </c>
      <c r="C207" s="62" t="s">
        <v>110</v>
      </c>
      <c r="D207" s="55" t="s">
        <v>111</v>
      </c>
    </row>
    <row r="208" spans="2:6">
      <c r="B208" s="200" t="s">
        <v>112</v>
      </c>
      <c r="C208" s="1115"/>
      <c r="D208" s="1113"/>
    </row>
    <row r="209" spans="2:8">
      <c r="B209" s="200" t="s">
        <v>113</v>
      </c>
      <c r="C209" s="1115"/>
      <c r="D209" s="1113"/>
    </row>
    <row r="210" spans="2:8">
      <c r="B210" s="201" t="s">
        <v>114</v>
      </c>
      <c r="C210" s="1116"/>
      <c r="D210" s="1117"/>
    </row>
    <row r="211" spans="2:8" ht="13.9" thickBot="1">
      <c r="B211" s="1107" t="s">
        <v>115</v>
      </c>
      <c r="C211" s="1118"/>
      <c r="D211" s="1354"/>
    </row>
    <row r="212" spans="2:8" ht="13.9" thickBot="1"/>
    <row r="213" spans="2:8" ht="24.75" customHeight="1" thickBot="1">
      <c r="B213" s="1671" t="s">
        <v>5</v>
      </c>
      <c r="C213" s="1672"/>
      <c r="D213" s="1672"/>
      <c r="E213" s="1670"/>
    </row>
    <row r="214" spans="2:8" ht="13.9" thickBot="1">
      <c r="G214" s="471"/>
      <c r="H214" s="472"/>
    </row>
    <row r="215" spans="2:8" ht="199.9" customHeight="1" thickBot="1">
      <c r="B215" s="1686" t="s">
        <v>116</v>
      </c>
      <c r="C215" s="1687"/>
      <c r="D215" s="461" t="s">
        <v>117</v>
      </c>
      <c r="E215" s="4"/>
      <c r="F215" s="471"/>
      <c r="G215" s="471"/>
      <c r="H215" s="472"/>
    </row>
    <row r="216" spans="2:8" ht="13.9" customHeight="1" thickBot="1">
      <c r="B216" s="1675" t="s">
        <v>118</v>
      </c>
      <c r="C216" s="1676"/>
      <c r="D216" s="1677"/>
    </row>
    <row r="217" spans="2:8" ht="26.45">
      <c r="B217" s="220" t="s">
        <v>119</v>
      </c>
      <c r="C217" s="68" t="s">
        <v>120</v>
      </c>
      <c r="D217" s="70" t="s">
        <v>121</v>
      </c>
    </row>
    <row r="218" spans="2:8">
      <c r="B218" s="32" t="s">
        <v>122</v>
      </c>
      <c r="C218" s="522">
        <f>SUM(C219:C228)</f>
        <v>0</v>
      </c>
      <c r="D218" s="1518">
        <f>SUM(D219:D228)</f>
        <v>0</v>
      </c>
    </row>
    <row r="219" spans="2:8">
      <c r="B219" s="108" t="s">
        <v>123</v>
      </c>
      <c r="C219" s="1281"/>
      <c r="D219" s="1519"/>
    </row>
    <row r="220" spans="2:8">
      <c r="B220" s="109" t="s">
        <v>124</v>
      </c>
      <c r="C220" s="1282"/>
      <c r="D220" s="1520"/>
    </row>
    <row r="221" spans="2:8">
      <c r="B221" s="109" t="s">
        <v>125</v>
      </c>
      <c r="C221" s="1282"/>
      <c r="D221" s="1520"/>
    </row>
    <row r="222" spans="2:8">
      <c r="B222" s="109" t="s">
        <v>126</v>
      </c>
      <c r="C222" s="1282"/>
      <c r="D222" s="1520"/>
    </row>
    <row r="223" spans="2:8">
      <c r="B223" s="109" t="s">
        <v>127</v>
      </c>
      <c r="C223" s="1517"/>
      <c r="D223" s="1520"/>
    </row>
    <row r="224" spans="2:8">
      <c r="B224" s="1525" t="s">
        <v>128</v>
      </c>
      <c r="C224" s="1517"/>
      <c r="D224" s="1520"/>
    </row>
    <row r="225" spans="2:6">
      <c r="B225" s="1525" t="s">
        <v>129</v>
      </c>
      <c r="C225" s="1517"/>
      <c r="D225" s="1520"/>
    </row>
    <row r="226" spans="2:6">
      <c r="B226" s="1525" t="s">
        <v>130</v>
      </c>
      <c r="C226" s="1517"/>
      <c r="D226" s="1520"/>
    </row>
    <row r="227" spans="2:6">
      <c r="B227" s="1525" t="s">
        <v>131</v>
      </c>
      <c r="C227" s="1517"/>
      <c r="D227" s="1520"/>
    </row>
    <row r="228" spans="2:6" ht="13.9" thickBot="1">
      <c r="B228" s="110" t="s">
        <v>132</v>
      </c>
      <c r="C228" s="1283"/>
      <c r="D228" s="1092"/>
    </row>
    <row r="229" spans="2:6" ht="13.9" thickBot="1"/>
    <row r="230" spans="2:6" ht="13.9" customHeight="1" thickBot="1">
      <c r="B230" s="1675" t="s">
        <v>133</v>
      </c>
      <c r="C230" s="1676"/>
      <c r="D230" s="1677"/>
      <c r="E230" s="2112"/>
      <c r="F230" s="2112"/>
    </row>
    <row r="231" spans="2:6" ht="26.45">
      <c r="B231" s="220" t="s">
        <v>119</v>
      </c>
      <c r="C231" s="68" t="s">
        <v>120</v>
      </c>
      <c r="D231" s="70" t="s">
        <v>121</v>
      </c>
    </row>
    <row r="232" spans="2:6">
      <c r="B232" s="32" t="s">
        <v>134</v>
      </c>
      <c r="C232" s="522">
        <f>SUM(C233:C242)</f>
        <v>0</v>
      </c>
      <c r="D232" s="1518">
        <f>SUM(D233:D242)</f>
        <v>0</v>
      </c>
    </row>
    <row r="233" spans="2:6">
      <c r="B233" s="108" t="s">
        <v>123</v>
      </c>
      <c r="C233" s="1282"/>
      <c r="D233" s="1520"/>
    </row>
    <row r="234" spans="2:6">
      <c r="B234" s="109" t="s">
        <v>124</v>
      </c>
      <c r="C234" s="1282"/>
      <c r="D234" s="1520"/>
    </row>
    <row r="235" spans="2:6">
      <c r="B235" s="109" t="s">
        <v>125</v>
      </c>
      <c r="C235" s="1282"/>
      <c r="D235" s="1520"/>
    </row>
    <row r="236" spans="2:6">
      <c r="B236" s="109" t="s">
        <v>126</v>
      </c>
      <c r="C236" s="1282"/>
      <c r="D236" s="1520"/>
    </row>
    <row r="237" spans="2:6">
      <c r="B237" s="109" t="s">
        <v>127</v>
      </c>
      <c r="C237" s="1517"/>
      <c r="D237" s="1520"/>
    </row>
    <row r="238" spans="2:6">
      <c r="B238" s="1525" t="s">
        <v>128</v>
      </c>
      <c r="C238" s="1517"/>
      <c r="D238" s="1520"/>
    </row>
    <row r="239" spans="2:6">
      <c r="B239" s="1525" t="s">
        <v>129</v>
      </c>
      <c r="C239" s="1517"/>
      <c r="D239" s="1520"/>
    </row>
    <row r="240" spans="2:6">
      <c r="B240" s="1525" t="s">
        <v>130</v>
      </c>
      <c r="C240" s="1517"/>
      <c r="D240" s="1520"/>
    </row>
    <row r="241" spans="2:7">
      <c r="B241" s="1525" t="s">
        <v>131</v>
      </c>
      <c r="C241" s="1517"/>
      <c r="D241" s="1520"/>
    </row>
    <row r="242" spans="2:7" ht="13.9" thickBot="1">
      <c r="B242" s="110" t="s">
        <v>132</v>
      </c>
      <c r="C242" s="1283"/>
      <c r="D242" s="1092"/>
      <c r="G242" s="482"/>
    </row>
    <row r="243" spans="2:7" ht="13.9" thickBot="1"/>
    <row r="244" spans="2:7" ht="14.45" customHeight="1" thickBot="1">
      <c r="B244" s="1675" t="s">
        <v>135</v>
      </c>
      <c r="C244" s="1676"/>
      <c r="D244" s="1677"/>
    </row>
    <row r="245" spans="2:7" ht="26.45">
      <c r="B245" s="220" t="s">
        <v>119</v>
      </c>
      <c r="C245" s="68" t="s">
        <v>120</v>
      </c>
      <c r="D245" s="70" t="s">
        <v>121</v>
      </c>
    </row>
    <row r="246" spans="2:7">
      <c r="B246" s="32" t="s">
        <v>136</v>
      </c>
      <c r="C246" s="522">
        <f>SUM(C247:C256)</f>
        <v>0</v>
      </c>
      <c r="D246" s="1518">
        <f>SUM(D247:D256)</f>
        <v>0</v>
      </c>
    </row>
    <row r="247" spans="2:7">
      <c r="B247" s="108" t="s">
        <v>123</v>
      </c>
      <c r="C247" s="1282"/>
      <c r="D247" s="1520"/>
    </row>
    <row r="248" spans="2:7">
      <c r="B248" s="109" t="s">
        <v>124</v>
      </c>
      <c r="C248" s="1282"/>
      <c r="D248" s="1520"/>
    </row>
    <row r="249" spans="2:7">
      <c r="B249" s="109" t="s">
        <v>125</v>
      </c>
      <c r="C249" s="1282"/>
      <c r="D249" s="1520"/>
    </row>
    <row r="250" spans="2:7">
      <c r="B250" s="109" t="s">
        <v>126</v>
      </c>
      <c r="C250" s="1282"/>
      <c r="D250" s="1520"/>
    </row>
    <row r="251" spans="2:7">
      <c r="B251" s="109" t="s">
        <v>127</v>
      </c>
      <c r="C251" s="1517"/>
      <c r="D251" s="1520"/>
    </row>
    <row r="252" spans="2:7">
      <c r="B252" s="1525" t="s">
        <v>128</v>
      </c>
      <c r="C252" s="1517"/>
      <c r="D252" s="1520"/>
    </row>
    <row r="253" spans="2:7">
      <c r="B253" s="1525" t="s">
        <v>129</v>
      </c>
      <c r="C253" s="1517"/>
      <c r="D253" s="1520"/>
    </row>
    <row r="254" spans="2:7">
      <c r="B254" s="1525" t="s">
        <v>130</v>
      </c>
      <c r="C254" s="1517"/>
      <c r="D254" s="1520"/>
    </row>
    <row r="255" spans="2:7">
      <c r="B255" s="1525" t="s">
        <v>131</v>
      </c>
      <c r="C255" s="1517"/>
      <c r="D255" s="1520"/>
    </row>
    <row r="256" spans="2:7" ht="13.9" thickBot="1">
      <c r="B256" s="110" t="s">
        <v>132</v>
      </c>
      <c r="C256" s="1283"/>
      <c r="D256" s="1092"/>
    </row>
    <row r="257" spans="2:4" ht="57.6" customHeight="1" thickBot="1">
      <c r="B257" s="1674" t="s">
        <v>137</v>
      </c>
      <c r="C257" s="1674"/>
      <c r="D257" s="1674"/>
    </row>
    <row r="258" spans="2:4" ht="15.75" customHeight="1" thickBot="1">
      <c r="B258" s="1675" t="s">
        <v>138</v>
      </c>
      <c r="C258" s="1676"/>
      <c r="D258" s="1677"/>
    </row>
    <row r="259" spans="2:4" ht="26.45">
      <c r="B259" s="220" t="s">
        <v>119</v>
      </c>
      <c r="C259" s="68" t="s">
        <v>120</v>
      </c>
      <c r="D259" s="70" t="s">
        <v>121</v>
      </c>
    </row>
    <row r="260" spans="2:4">
      <c r="B260" s="32" t="s">
        <v>139</v>
      </c>
      <c r="C260" s="522">
        <f>SUM(C261:C270)</f>
        <v>0</v>
      </c>
      <c r="D260" s="1518">
        <f>SUM(D261:D270)</f>
        <v>0</v>
      </c>
    </row>
    <row r="261" spans="2:4">
      <c r="B261" s="108" t="s">
        <v>123</v>
      </c>
      <c r="C261" s="1282"/>
      <c r="D261" s="1520"/>
    </row>
    <row r="262" spans="2:4">
      <c r="B262" s="109" t="s">
        <v>124</v>
      </c>
      <c r="C262" s="1282"/>
      <c r="D262" s="1520"/>
    </row>
    <row r="263" spans="2:4">
      <c r="B263" s="109" t="s">
        <v>125</v>
      </c>
      <c r="C263" s="1282"/>
      <c r="D263" s="1520"/>
    </row>
    <row r="264" spans="2:4">
      <c r="B264" s="109" t="s">
        <v>126</v>
      </c>
      <c r="C264" s="1282"/>
      <c r="D264" s="1520"/>
    </row>
    <row r="265" spans="2:4">
      <c r="B265" s="109" t="s">
        <v>127</v>
      </c>
      <c r="C265" s="1517"/>
      <c r="D265" s="1520"/>
    </row>
    <row r="266" spans="2:4">
      <c r="B266" s="1525" t="s">
        <v>128</v>
      </c>
      <c r="C266" s="1517"/>
      <c r="D266" s="1520"/>
    </row>
    <row r="267" spans="2:4">
      <c r="B267" s="1525" t="s">
        <v>129</v>
      </c>
      <c r="C267" s="1517"/>
      <c r="D267" s="1520"/>
    </row>
    <row r="268" spans="2:4">
      <c r="B268" s="1525" t="s">
        <v>130</v>
      </c>
      <c r="C268" s="1517"/>
      <c r="D268" s="1520"/>
    </row>
    <row r="269" spans="2:4">
      <c r="B269" s="1525" t="s">
        <v>131</v>
      </c>
      <c r="C269" s="1517"/>
      <c r="D269" s="1520"/>
    </row>
    <row r="270" spans="2:4" ht="13.9" thickBot="1">
      <c r="B270" s="110" t="s">
        <v>132</v>
      </c>
      <c r="C270" s="1283"/>
      <c r="D270" s="1092"/>
    </row>
    <row r="271" spans="2:4" ht="43.5" customHeight="1">
      <c r="B271" s="1674" t="s">
        <v>140</v>
      </c>
      <c r="C271" s="1674"/>
      <c r="D271" s="1674"/>
    </row>
    <row r="272" spans="2:4" ht="13.9" thickBot="1"/>
    <row r="273" spans="2:9" ht="112.5" customHeight="1" thickBot="1">
      <c r="B273" s="1668" t="s">
        <v>141</v>
      </c>
      <c r="C273" s="1669"/>
      <c r="D273" s="1060" t="s">
        <v>142</v>
      </c>
      <c r="E273" s="4"/>
      <c r="F273" s="1573"/>
    </row>
    <row r="274" spans="2:9" ht="28.15" customHeight="1" thickBot="1">
      <c r="B274" s="1682" t="s">
        <v>143</v>
      </c>
      <c r="C274" s="1683"/>
    </row>
    <row r="275" spans="2:9" ht="26.45">
      <c r="B275" s="1178" t="s">
        <v>144</v>
      </c>
      <c r="C275" s="1458" t="s">
        <v>145</v>
      </c>
    </row>
    <row r="276" spans="2:9">
      <c r="B276" s="832" t="s">
        <v>146</v>
      </c>
      <c r="C276" s="1583"/>
      <c r="I276" s="1471"/>
    </row>
    <row r="277" spans="2:9">
      <c r="B277" s="419" t="s">
        <v>147</v>
      </c>
      <c r="C277" s="1584"/>
      <c r="I277" s="1471"/>
    </row>
    <row r="278" spans="2:9">
      <c r="B278" s="419" t="s">
        <v>148</v>
      </c>
      <c r="C278" s="1584"/>
    </row>
    <row r="279" spans="2:9">
      <c r="B279" s="419" t="s">
        <v>149</v>
      </c>
      <c r="C279" s="1584"/>
    </row>
    <row r="280" spans="2:9">
      <c r="B280" s="419" t="s">
        <v>150</v>
      </c>
      <c r="C280" s="1584"/>
    </row>
    <row r="281" spans="2:9">
      <c r="B281" s="419" t="s">
        <v>151</v>
      </c>
      <c r="C281" s="1584"/>
    </row>
    <row r="282" spans="2:9">
      <c r="B282" s="419" t="s">
        <v>152</v>
      </c>
      <c r="C282" s="1584"/>
    </row>
    <row r="283" spans="2:9">
      <c r="B283" s="1132" t="s">
        <v>153</v>
      </c>
      <c r="C283" s="1584"/>
    </row>
    <row r="284" spans="2:9" ht="13.9" thickBot="1">
      <c r="B284" s="833" t="s">
        <v>154</v>
      </c>
      <c r="C284" s="1585"/>
    </row>
    <row r="285" spans="2:9" ht="13.9" thickBot="1">
      <c r="C285" s="1180"/>
    </row>
    <row r="286" spans="2:9" ht="29.25" customHeight="1" thickBot="1">
      <c r="B286" s="1671" t="s">
        <v>6</v>
      </c>
      <c r="C286" s="1672"/>
      <c r="D286" s="1672"/>
      <c r="E286" s="1670"/>
    </row>
    <row r="287" spans="2:9" ht="19.5" customHeight="1" thickBot="1"/>
    <row r="288" spans="2:9" ht="40.5" customHeight="1" thickBot="1">
      <c r="B288" s="504" t="s">
        <v>155</v>
      </c>
      <c r="C288" s="509" t="s">
        <v>45</v>
      </c>
    </row>
    <row r="289" spans="2:3" ht="13.9" thickBot="1"/>
    <row r="290" spans="2:3" ht="44.25" customHeight="1" thickBot="1">
      <c r="B290" s="1668" t="s">
        <v>156</v>
      </c>
      <c r="C290" s="1673"/>
    </row>
    <row r="291" spans="2:3" ht="21.75" customHeight="1" thickBot="1">
      <c r="B291" s="1664" t="s">
        <v>157</v>
      </c>
      <c r="C291" s="1667"/>
    </row>
    <row r="292" spans="2:3">
      <c r="B292" s="1178" t="s">
        <v>158</v>
      </c>
      <c r="C292" s="1467" t="s">
        <v>159</v>
      </c>
    </row>
    <row r="293" spans="2:3">
      <c r="B293" s="214" t="s">
        <v>160</v>
      </c>
      <c r="C293" s="1610">
        <v>0.100204498977505</v>
      </c>
    </row>
    <row r="294" spans="2:3" ht="13.9" thickBot="1">
      <c r="B294" s="505" t="s">
        <v>161</v>
      </c>
      <c r="C294" s="1611">
        <v>0.89979550102249484</v>
      </c>
    </row>
    <row r="295" spans="2:3" ht="13.9" thickBot="1"/>
    <row r="296" spans="2:3" ht="56.25" customHeight="1" thickBot="1">
      <c r="B296" s="504" t="s">
        <v>162</v>
      </c>
      <c r="C296" s="510" t="s">
        <v>163</v>
      </c>
    </row>
    <row r="297" spans="2:3" ht="13.9" thickBot="1"/>
    <row r="298" spans="2:3" ht="44.25" customHeight="1" thickBot="1">
      <c r="B298" s="1668" t="s">
        <v>164</v>
      </c>
      <c r="C298" s="1673"/>
    </row>
    <row r="299" spans="2:3" ht="18.75" customHeight="1" thickBot="1">
      <c r="B299" s="1664" t="s">
        <v>165</v>
      </c>
      <c r="C299" s="1667"/>
    </row>
    <row r="300" spans="2:3">
      <c r="B300" s="1178" t="s">
        <v>166</v>
      </c>
      <c r="C300" s="1467" t="s">
        <v>159</v>
      </c>
    </row>
    <row r="301" spans="2:3">
      <c r="B301" s="214" t="s">
        <v>167</v>
      </c>
      <c r="C301" s="1042">
        <v>0.5</v>
      </c>
    </row>
    <row r="302" spans="2:3" ht="13.9" thickBot="1">
      <c r="B302" s="505" t="s">
        <v>168</v>
      </c>
      <c r="C302" s="1041">
        <v>0.5</v>
      </c>
    </row>
    <row r="303" spans="2:3" ht="13.9" thickBot="1"/>
    <row r="304" spans="2:3" ht="54.75" customHeight="1" thickBot="1">
      <c r="B304" s="504" t="s">
        <v>169</v>
      </c>
      <c r="C304" s="509" t="s">
        <v>45</v>
      </c>
    </row>
    <row r="305" spans="2:5" ht="13.9" thickBot="1"/>
    <row r="306" spans="2:5" ht="157.9" customHeight="1" thickBot="1">
      <c r="B306" s="1668" t="s">
        <v>170</v>
      </c>
      <c r="C306" s="1673"/>
    </row>
    <row r="307" spans="2:5" ht="20.25" customHeight="1" thickBot="1">
      <c r="B307" s="1664" t="s">
        <v>171</v>
      </c>
      <c r="C307" s="1667"/>
    </row>
    <row r="308" spans="2:5" ht="26.45">
      <c r="B308" s="82" t="s">
        <v>172</v>
      </c>
      <c r="C308" s="84" t="s">
        <v>173</v>
      </c>
    </row>
    <row r="309" spans="2:5">
      <c r="B309" s="337" t="s">
        <v>174</v>
      </c>
      <c r="C309" s="1614">
        <v>0.21627344677402049</v>
      </c>
    </row>
    <row r="310" spans="2:5">
      <c r="B310" s="337" t="s">
        <v>175</v>
      </c>
      <c r="C310" s="1614">
        <v>7.9803692574325416E-2</v>
      </c>
    </row>
    <row r="311" spans="2:5">
      <c r="B311" s="337" t="s">
        <v>176</v>
      </c>
      <c r="C311" s="1614">
        <v>0.21837617212513694</v>
      </c>
      <c r="E311" s="1471"/>
    </row>
    <row r="312" spans="2:5">
      <c r="B312" s="337" t="s">
        <v>177</v>
      </c>
      <c r="C312" s="1614">
        <v>6.3529540184560376E-2</v>
      </c>
    </row>
    <row r="313" spans="2:5">
      <c r="B313" s="337" t="s">
        <v>178</v>
      </c>
      <c r="C313" s="1614">
        <v>5.1584263504596918E-2</v>
      </c>
    </row>
    <row r="314" spans="2:5" ht="13.9" thickBot="1">
      <c r="B314" s="477" t="s">
        <v>179</v>
      </c>
      <c r="C314" s="1612">
        <v>0</v>
      </c>
    </row>
    <row r="315" spans="2:5" ht="13.9" thickBot="1"/>
    <row r="316" spans="2:5" ht="151.9" customHeight="1" thickBot="1">
      <c r="B316" s="1668" t="s">
        <v>180</v>
      </c>
      <c r="C316" s="1669"/>
      <c r="D316" s="1670"/>
      <c r="E316" s="1060" t="s">
        <v>181</v>
      </c>
    </row>
    <row r="317" spans="2:5" ht="17.25" customHeight="1" thickBot="1">
      <c r="B317" s="1664" t="s">
        <v>182</v>
      </c>
      <c r="C317" s="1680"/>
      <c r="D317" s="1681"/>
    </row>
    <row r="318" spans="2:5" ht="52.9">
      <c r="B318" s="1075" t="s">
        <v>183</v>
      </c>
      <c r="C318" s="1179" t="s">
        <v>184</v>
      </c>
      <c r="D318" s="1467" t="s">
        <v>185</v>
      </c>
    </row>
    <row r="319" spans="2:5" ht="15.6" customHeight="1" thickBot="1">
      <c r="B319" s="1595" t="s">
        <v>186</v>
      </c>
      <c r="C319" s="1597">
        <v>0</v>
      </c>
      <c r="D319" s="1598">
        <v>0</v>
      </c>
    </row>
    <row r="320" spans="2:5" ht="13.9" thickBot="1">
      <c r="B320" s="1590"/>
      <c r="C320" s="1541"/>
      <c r="D320" s="1541"/>
    </row>
    <row r="321" spans="2:8" ht="27" thickBot="1">
      <c r="B321" s="504" t="s">
        <v>187</v>
      </c>
      <c r="C321" s="509" t="s">
        <v>45</v>
      </c>
      <c r="D321" s="1541"/>
      <c r="F321" s="482"/>
      <c r="G321" s="482"/>
    </row>
    <row r="322" spans="2:8" ht="13.9" thickBot="1">
      <c r="B322" s="1591"/>
      <c r="C322" s="1541"/>
      <c r="D322" s="1541"/>
      <c r="E322" s="1471"/>
      <c r="F322" s="482"/>
      <c r="G322" s="482"/>
      <c r="H322" s="1589"/>
    </row>
    <row r="323" spans="2:8" ht="43.9" customHeight="1" thickBot="1">
      <c r="B323" s="1668" t="s">
        <v>188</v>
      </c>
      <c r="C323" s="1669"/>
      <c r="D323" s="1673"/>
      <c r="F323" s="482"/>
      <c r="G323" s="482"/>
      <c r="H323" s="482"/>
    </row>
    <row r="324" spans="2:8" ht="18.600000000000001" customHeight="1" thickBot="1">
      <c r="B324" s="1664" t="s">
        <v>189</v>
      </c>
      <c r="C324" s="1665"/>
      <c r="D324" s="1666"/>
      <c r="F324" s="482"/>
      <c r="G324" s="482"/>
    </row>
    <row r="325" spans="2:8" ht="52.9">
      <c r="B325" s="1075" t="s">
        <v>183</v>
      </c>
      <c r="C325" s="1179" t="s">
        <v>184</v>
      </c>
      <c r="D325" s="1467" t="s">
        <v>185</v>
      </c>
      <c r="E325" s="482"/>
      <c r="F325" s="482"/>
      <c r="G325" s="482"/>
    </row>
    <row r="326" spans="2:8" ht="13.9" thickBot="1">
      <c r="B326" s="1595" t="s">
        <v>190</v>
      </c>
      <c r="C326" s="1599"/>
      <c r="D326" s="1600"/>
      <c r="F326" s="482"/>
      <c r="G326" s="482"/>
      <c r="H326" s="482"/>
    </row>
    <row r="327" spans="2:8" ht="13.9" thickBot="1">
      <c r="B327" s="1590"/>
      <c r="C327" s="1541"/>
      <c r="D327" s="1541"/>
    </row>
    <row r="328" spans="2:8" ht="70.900000000000006" customHeight="1" thickBot="1">
      <c r="B328" s="1668" t="s">
        <v>191</v>
      </c>
      <c r="C328" s="1669"/>
      <c r="D328" s="1060" t="s">
        <v>181</v>
      </c>
      <c r="E328" s="482"/>
      <c r="F328" s="482"/>
      <c r="G328" s="482"/>
    </row>
    <row r="329" spans="2:8" ht="16.899999999999999" customHeight="1" thickBot="1">
      <c r="B329" s="1682" t="s">
        <v>192</v>
      </c>
      <c r="C329" s="1683"/>
      <c r="D329" s="482"/>
      <c r="E329" s="482"/>
      <c r="F329" s="482"/>
      <c r="G329" s="482"/>
    </row>
    <row r="330" spans="2:8">
      <c r="B330" s="1596" t="s">
        <v>193</v>
      </c>
      <c r="C330" s="1592"/>
      <c r="D330" s="1594"/>
      <c r="E330" s="482"/>
      <c r="F330" s="482"/>
      <c r="G330" s="482"/>
    </row>
    <row r="331" spans="2:8" ht="13.9" thickBot="1">
      <c r="B331" s="1595" t="s">
        <v>192</v>
      </c>
      <c r="C331" s="1593"/>
      <c r="D331" s="1594"/>
      <c r="E331" s="482"/>
      <c r="F331" s="482"/>
      <c r="G331" s="482"/>
    </row>
    <row r="332" spans="2:8" ht="13.9" thickBot="1">
      <c r="B332" s="1590"/>
      <c r="C332" s="1541"/>
      <c r="D332" s="1541"/>
      <c r="E332" s="482"/>
      <c r="F332" s="482"/>
      <c r="G332" s="482"/>
    </row>
    <row r="333" spans="2:8" ht="27" thickBot="1">
      <c r="B333" s="504" t="s">
        <v>194</v>
      </c>
      <c r="C333" s="509" t="s">
        <v>45</v>
      </c>
      <c r="D333" s="1541"/>
      <c r="E333" s="482"/>
      <c r="F333" s="482"/>
      <c r="G333" s="482"/>
    </row>
    <row r="334" spans="2:8" ht="13.9" thickBot="1">
      <c r="B334" s="1628"/>
      <c r="C334" s="1629"/>
      <c r="D334" s="1541"/>
      <c r="E334" s="482"/>
      <c r="F334" s="482"/>
      <c r="G334" s="482"/>
    </row>
    <row r="335" spans="2:8" ht="48.6" customHeight="1" thickBot="1">
      <c r="B335" s="1668" t="s">
        <v>195</v>
      </c>
      <c r="C335" s="1673"/>
      <c r="D335" s="1541"/>
      <c r="E335" s="482"/>
      <c r="F335" s="482"/>
      <c r="G335" s="482"/>
    </row>
    <row r="336" spans="2:8" ht="13.9" customHeight="1" thickBot="1">
      <c r="B336" s="1664" t="s">
        <v>196</v>
      </c>
      <c r="C336" s="1667"/>
      <c r="D336" s="1541"/>
      <c r="E336" s="482"/>
      <c r="F336" s="482"/>
      <c r="G336" s="482"/>
    </row>
    <row r="337" spans="2:7" ht="31.9" customHeight="1" thickBot="1">
      <c r="B337" s="1660" t="s">
        <v>197</v>
      </c>
      <c r="C337" s="1631" t="s">
        <v>198</v>
      </c>
      <c r="D337" s="1541"/>
      <c r="E337" s="482"/>
      <c r="F337" s="482"/>
      <c r="G337" s="482"/>
    </row>
    <row r="338" spans="2:7" ht="13.9" thickBot="1">
      <c r="B338" s="1590"/>
      <c r="C338" s="1541"/>
      <c r="D338" s="1541"/>
      <c r="E338" s="482"/>
      <c r="F338" s="482"/>
      <c r="G338" s="482"/>
    </row>
    <row r="339" spans="2:7" ht="17.45" customHeight="1" thickBot="1">
      <c r="B339" s="1664" t="s">
        <v>199</v>
      </c>
      <c r="C339" s="1666"/>
      <c r="D339" s="1626"/>
    </row>
    <row r="340" spans="2:7" ht="31.5" customHeight="1" thickBot="1">
      <c r="B340" s="504" t="s">
        <v>200</v>
      </c>
      <c r="C340" s="509" t="s">
        <v>201</v>
      </c>
    </row>
    <row r="341" spans="2:7" ht="44.25" customHeight="1" thickBot="1">
      <c r="B341" s="504" t="s">
        <v>202</v>
      </c>
      <c r="C341" s="1059">
        <v>1</v>
      </c>
    </row>
    <row r="342" spans="2:7" ht="33.6" customHeight="1">
      <c r="B342" s="1588" t="s">
        <v>203</v>
      </c>
      <c r="C342" s="1587"/>
    </row>
    <row r="343" spans="2:7" ht="15.75" customHeight="1" thickBot="1"/>
    <row r="344" spans="2:7" ht="29.25" customHeight="1" thickBot="1">
      <c r="B344" s="1671" t="s">
        <v>204</v>
      </c>
      <c r="C344" s="1672"/>
      <c r="D344" s="1672"/>
      <c r="E344" s="1670"/>
    </row>
    <row r="345" spans="2:7" ht="13.9" thickBot="1"/>
    <row r="346" spans="2:7" ht="72.599999999999994" customHeight="1" thickBot="1">
      <c r="B346" s="1668" t="s">
        <v>205</v>
      </c>
      <c r="C346" s="1667"/>
      <c r="D346" s="1060" t="s">
        <v>206</v>
      </c>
    </row>
    <row r="347" spans="2:7" ht="19.899999999999999" customHeight="1" thickBot="1">
      <c r="B347" s="1664"/>
      <c r="C347" s="1680"/>
      <c r="D347" s="1681"/>
    </row>
    <row r="348" spans="2:7" ht="18.600000000000001" customHeight="1" thickBot="1">
      <c r="B348" s="504" t="s">
        <v>207</v>
      </c>
      <c r="C348" s="793">
        <v>30000</v>
      </c>
    </row>
    <row r="349" spans="2:7" ht="18.600000000000001" customHeight="1" thickBot="1">
      <c r="B349" s="504" t="s">
        <v>208</v>
      </c>
      <c r="C349" s="793">
        <v>6981974</v>
      </c>
    </row>
    <row r="358" ht="80.25" customHeight="1"/>
    <row r="363" ht="69.75" customHeight="1"/>
    <row r="378" spans="3:3">
      <c r="C378" s="506"/>
    </row>
  </sheetData>
  <mergeCells count="59">
    <mergeCell ref="B335:C335"/>
    <mergeCell ref="B336:C336"/>
    <mergeCell ref="B323:D323"/>
    <mergeCell ref="B37:E37"/>
    <mergeCell ref="B30:D30"/>
    <mergeCell ref="B36:C36"/>
    <mergeCell ref="B68:D68"/>
    <mergeCell ref="B44:E44"/>
    <mergeCell ref="B43:D43"/>
    <mergeCell ref="B58:D58"/>
    <mergeCell ref="B67:C67"/>
    <mergeCell ref="B59:D59"/>
    <mergeCell ref="B65:E65"/>
    <mergeCell ref="B205:D205"/>
    <mergeCell ref="C206:D206"/>
    <mergeCell ref="B213:E213"/>
    <mergeCell ref="B196:C196"/>
    <mergeCell ref="B215:C215"/>
    <mergeCell ref="B2:D2"/>
    <mergeCell ref="B16:E16"/>
    <mergeCell ref="B29:C29"/>
    <mergeCell ref="B23:C23"/>
    <mergeCell ref="B24:C24"/>
    <mergeCell ref="B4:D4"/>
    <mergeCell ref="B18:E18"/>
    <mergeCell ref="B175:C175"/>
    <mergeCell ref="B194:C194"/>
    <mergeCell ref="B193:C193"/>
    <mergeCell ref="B191:E191"/>
    <mergeCell ref="B195:C195"/>
    <mergeCell ref="B178:C178"/>
    <mergeCell ref="B176:C176"/>
    <mergeCell ref="B347:D347"/>
    <mergeCell ref="B344:E344"/>
    <mergeCell ref="B339:C339"/>
    <mergeCell ref="B244:D244"/>
    <mergeCell ref="B271:D271"/>
    <mergeCell ref="B328:C328"/>
    <mergeCell ref="B324:D324"/>
    <mergeCell ref="B329:C329"/>
    <mergeCell ref="B346:C346"/>
    <mergeCell ref="B273:C273"/>
    <mergeCell ref="B298:C298"/>
    <mergeCell ref="B306:C306"/>
    <mergeCell ref="B317:D317"/>
    <mergeCell ref="B307:C307"/>
    <mergeCell ref="B299:C299"/>
    <mergeCell ref="B274:C274"/>
    <mergeCell ref="B197:D197"/>
    <mergeCell ref="B291:C291"/>
    <mergeCell ref="B316:D316"/>
    <mergeCell ref="B286:E286"/>
    <mergeCell ref="B290:C290"/>
    <mergeCell ref="B257:D257"/>
    <mergeCell ref="B216:D216"/>
    <mergeCell ref="B230:D230"/>
    <mergeCell ref="E230:F230"/>
    <mergeCell ref="B204:C204"/>
    <mergeCell ref="B258:D258"/>
  </mergeCells>
  <dataValidations count="1">
    <dataValidation type="list" allowBlank="1" showInputMessage="1" showErrorMessage="1" sqref="C41" xr:uid="{00000000-0002-0000-0100-000000000000}">
      <formula1>$B$51:$B$54</formula1>
    </dataValidation>
  </dataValidations>
  <hyperlinks>
    <hyperlink ref="D67" r:id="rId1" xr:uid="{00000000-0004-0000-0100-000000000000}"/>
    <hyperlink ref="D29" r:id="rId2" xr:uid="{00000000-0004-0000-0100-000001000000}"/>
    <hyperlink ref="D175" r:id="rId3" display="MAPC Data Common Housing by Units" xr:uid="{00000000-0004-0000-0100-000002000000}"/>
    <hyperlink ref="D176" r:id="rId4" display="MAPC Data Common Housing by Fuel Type" xr:uid="{00000000-0004-0000-0100-000003000000}"/>
    <hyperlink ref="D346" r:id="rId5" xr:uid="{00000000-0004-0000-0100-000004000000}"/>
    <hyperlink ref="D215" r:id="rId6" xr:uid="{00000000-0004-0000-0100-000007000000}"/>
    <hyperlink ref="D36" r:id="rId7" xr:uid="{00000000-0004-0000-0100-000008000000}"/>
    <hyperlink ref="C7" location="Inputs!B16" display="Energy Data" xr:uid="{00000000-0004-0000-0100-000009000000}"/>
    <hyperlink ref="C8" location="Inputs!B213" display="Transportation Data" xr:uid="{00000000-0004-0000-0100-00000A000000}"/>
    <hyperlink ref="C9" location="Inputs!B286" display="Waste Data" xr:uid="{00000000-0004-0000-0100-00000B000000}"/>
    <hyperlink ref="D204" r:id="rId8" xr:uid="{00000000-0004-0000-0100-00000F000000}"/>
    <hyperlink ref="E193" r:id="rId9" xr:uid="{9DA78BEB-B536-451E-8487-2560C6F6BC93}"/>
    <hyperlink ref="D195" r:id="rId10" display="MAPC Data Common - Estimated Landscaped Area" xr:uid="{00000000-0004-0000-0100-00000E000000}"/>
    <hyperlink ref="D193" r:id="rId11" xr:uid="{A41B70CE-A66E-484A-A176-9A29E5419CF6}"/>
    <hyperlink ref="E194" r:id="rId12" xr:uid="{33B0D8A3-F5A2-40C5-B1F6-EF2A5F0B4750}"/>
    <hyperlink ref="D194" r:id="rId13" xr:uid="{AB2D68AE-D5E2-40A7-BA94-2CCD00D5EA25}"/>
    <hyperlink ref="D273" r:id="rId14" display="MAPC DataCommon - MBTA Frequency Weighted Trip Miles" xr:uid="{00000000-0004-0000-0100-000006000000}"/>
    <hyperlink ref="D196" r:id="rId15" xr:uid="{EB4C34A8-2126-46EB-BF6F-EB38D2D963CB}"/>
    <hyperlink ref="D328" r:id="rId16" xr:uid="{0688FB9E-CCF5-471F-B9E9-45D2039BE81F}"/>
    <hyperlink ref="E316" r:id="rId17" xr:uid="{BA31A7F0-D7D1-4C52-948D-FC56460C905D}"/>
  </hyperlinks>
  <pageMargins left="0.7" right="0.7" top="0.75" bottom="0.75" header="0.3" footer="0.3"/>
  <pageSetup orientation="portrait" r:id="rId18"/>
  <drawing r:id="rId19"/>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100-000001000000}">
          <x14:formula1>
            <xm:f>'Drop-Downs'!$A$2:$A$3</xm:f>
          </x14:formula1>
          <xm:sqref>C288 C304 C46:C49 C51:C54 C321 C333:C334</xm:sqref>
        </x14:dataValidation>
        <x14:dataValidation type="list" allowBlank="1" showInputMessage="1" showErrorMessage="1" xr:uid="{00000000-0002-0000-0100-000002000000}">
          <x14:formula1>
            <xm:f>'Drop-Downs'!$B$2:$B$4</xm:f>
          </x14:formula1>
          <xm:sqref>C296</xm:sqref>
        </x14:dataValidation>
        <x14:dataValidation type="list" allowBlank="1" showInputMessage="1" showErrorMessage="1" xr:uid="{00000000-0002-0000-0100-000003000000}">
          <x14:formula1>
            <xm:f>'Drop-Downs'!$C$2:$C$6</xm:f>
          </x14:formula1>
          <xm:sqref>C20</xm:sqref>
        </x14:dataValidation>
        <x14:dataValidation type="list" allowBlank="1" showInputMessage="1" showErrorMessage="1" xr:uid="{00000000-0002-0000-0100-000004000000}">
          <x14:formula1>
            <xm:f>'Drop-Downs'!$E$2:$E$352</xm:f>
          </x14:formula1>
          <xm:sqref>C12</xm:sqref>
        </x14:dataValidation>
        <x14:dataValidation type="list" allowBlank="1" showInputMessage="1" showErrorMessage="1" xr:uid="{00000000-0002-0000-0100-000005000000}">
          <x14:formula1>
            <xm:f>'Drop-Downs'!$G$2:$G$7</xm:f>
          </x14:formula1>
          <xm:sqref>C340</xm:sqref>
        </x14:dataValidation>
        <x14:dataValidation type="list" allowBlank="1" showInputMessage="1" showErrorMessage="1" xr:uid="{00000000-0002-0000-0100-000006000000}">
          <x14:formula1>
            <xm:f>'Drop-Downs'!$H$2:$H$4</xm:f>
          </x14:formula1>
          <xm:sqref>C40</xm:sqref>
        </x14:dataValidation>
        <x14:dataValidation type="list" allowBlank="1" showInputMessage="1" showErrorMessage="1" xr:uid="{00000000-0002-0000-0100-000007000000}">
          <x14:formula1>
            <xm:f>'Drop-Downs'!$H$2:$H$3</xm:f>
          </x14:formula1>
          <xm:sqref>D40</xm:sqref>
        </x14:dataValidation>
        <x14:dataValidation type="list" allowBlank="1" showInputMessage="1" showErrorMessage="1" xr:uid="{00000000-0002-0000-0100-000008000000}">
          <x14:formula1>
            <xm:f>'Drop-Downs'!$J$2:$J$15</xm:f>
          </x14:formula1>
          <xm:sqref>C206:D206</xm:sqref>
        </x14:dataValidation>
        <x14:dataValidation type="list" allowBlank="1" showInputMessage="1" showErrorMessage="1" xr:uid="{00000000-0002-0000-0100-000009000000}">
          <x14:formula1>
            <xm:f>'Drop-Downs'!$D$2:$D$43</xm:f>
          </x14:formula1>
          <xm:sqref>C21</xm:sqref>
        </x14:dataValidation>
        <x14:dataValidation type="list" allowBlank="1" showInputMessage="1" showErrorMessage="1" xr:uid="{48F4D32B-76C0-4930-8E8C-9288E06EA186}">
          <x14:formula1>
            <xm:f>'Drop-Downs'!$F$2:$F$14</xm:f>
          </x14:formula1>
          <xm:sqref>C337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249977111117893"/>
  </sheetPr>
  <dimension ref="B1:N85"/>
  <sheetViews>
    <sheetView showGridLines="0" zoomScaleNormal="100" workbookViewId="0">
      <selection activeCell="E33" sqref="E33"/>
    </sheetView>
  </sheetViews>
  <sheetFormatPr defaultColWidth="9.140625" defaultRowHeight="13.15"/>
  <cols>
    <col min="1" max="1" width="2.7109375" style="4" customWidth="1"/>
    <col min="2" max="2" width="58.85546875" customWidth="1"/>
    <col min="3" max="3" width="23.85546875" style="5" customWidth="1"/>
    <col min="4" max="4" width="17.28515625" style="4" customWidth="1"/>
    <col min="5" max="5" width="22.85546875" style="4" customWidth="1"/>
    <col min="6" max="6" width="29.140625" style="4" customWidth="1"/>
    <col min="7" max="7" width="24.5703125" style="4" customWidth="1"/>
    <col min="8" max="8" width="26.28515625" style="4" customWidth="1"/>
    <col min="9" max="9" width="19.5703125" style="4" customWidth="1"/>
    <col min="10" max="10" width="21.7109375" style="4" customWidth="1"/>
    <col min="11" max="11" width="22.85546875" style="4" customWidth="1"/>
    <col min="12" max="12" width="15.7109375" style="4" customWidth="1"/>
    <col min="13" max="13" width="25.7109375" style="4" customWidth="1"/>
    <col min="14" max="14" width="15.7109375" style="4" customWidth="1"/>
    <col min="15" max="23" width="18.28515625" style="4" customWidth="1"/>
    <col min="24" max="16384" width="9.140625" style="4"/>
  </cols>
  <sheetData>
    <row r="1" spans="2:14" ht="13.9" thickBot="1">
      <c r="B1" s="5"/>
    </row>
    <row r="2" spans="2:14" ht="23.25" customHeight="1" thickBot="1">
      <c r="B2" s="1988" t="s">
        <v>1732</v>
      </c>
      <c r="C2" s="2047"/>
      <c r="D2" s="2047"/>
      <c r="E2" s="1670"/>
    </row>
    <row r="3" spans="2:14">
      <c r="B3" s="135" t="s">
        <v>373</v>
      </c>
      <c r="C3" s="1940" t="s">
        <v>386</v>
      </c>
      <c r="D3" s="1970"/>
      <c r="E3" s="1971"/>
    </row>
    <row r="4" spans="2:14" ht="13.9" thickBot="1">
      <c r="B4" s="136" t="s">
        <v>1213</v>
      </c>
      <c r="C4" s="1972" t="s">
        <v>404</v>
      </c>
      <c r="D4" s="1827"/>
      <c r="E4" s="1828"/>
    </row>
    <row r="5" spans="2:14" ht="13.9" thickBot="1">
      <c r="B5" s="1456"/>
      <c r="C5" s="1456"/>
      <c r="D5" s="1456"/>
      <c r="E5" s="1456"/>
    </row>
    <row r="6" spans="2:14" ht="14.45" thickBot="1">
      <c r="B6" s="1664" t="s">
        <v>377</v>
      </c>
      <c r="C6" s="1665"/>
      <c r="D6" s="1665"/>
      <c r="E6" s="1666"/>
    </row>
    <row r="7" spans="2:14" ht="304.14999999999998" customHeight="1" thickBot="1">
      <c r="B7" s="1668" t="s">
        <v>1733</v>
      </c>
      <c r="C7" s="1927"/>
      <c r="D7" s="1927"/>
      <c r="E7" s="1667"/>
      <c r="F7" s="2112"/>
      <c r="G7" s="2112"/>
      <c r="H7" s="2112"/>
      <c r="I7" s="2112"/>
      <c r="J7" s="2112"/>
      <c r="K7" s="2112"/>
    </row>
    <row r="8" spans="2:14" ht="13.5" customHeight="1" thickBot="1">
      <c r="B8" s="1119"/>
      <c r="C8" s="4"/>
      <c r="D8" s="39"/>
      <c r="E8" s="39"/>
      <c r="M8" s="5"/>
    </row>
    <row r="9" spans="2:14" ht="18.75" customHeight="1" thickBot="1">
      <c r="B9" s="1879" t="s">
        <v>1734</v>
      </c>
      <c r="C9" s="1885"/>
      <c r="D9"/>
      <c r="N9" s="5"/>
    </row>
    <row r="10" spans="2:14">
      <c r="B10" s="1178" t="s">
        <v>1376</v>
      </c>
      <c r="C10" s="1467" t="s">
        <v>1378</v>
      </c>
      <c r="E10" s="39"/>
      <c r="M10" s="5"/>
    </row>
    <row r="11" spans="2:14" ht="15" customHeight="1" thickBot="1">
      <c r="B11" s="280">
        <f>SUM($C$30,$C$38)</f>
        <v>0</v>
      </c>
      <c r="C11" s="1413">
        <f>SUM($C$43,$C$52)</f>
        <v>1.4818799999999999</v>
      </c>
      <c r="E11"/>
      <c r="M11" s="5"/>
    </row>
    <row r="12" spans="2:14" ht="13.5" customHeight="1" thickBot="1">
      <c r="B12" s="1119"/>
      <c r="C12" s="4"/>
      <c r="D12" s="39"/>
      <c r="E12" s="39"/>
      <c r="M12" s="5"/>
    </row>
    <row r="13" spans="2:14" ht="31.9" customHeight="1">
      <c r="B13" s="2110" t="s">
        <v>1735</v>
      </c>
      <c r="C13" s="2111"/>
      <c r="D13" s="39"/>
      <c r="E13" s="39"/>
      <c r="M13" s="5"/>
    </row>
    <row r="14" spans="2:14" ht="13.5" customHeight="1">
      <c r="B14" s="1551" t="s">
        <v>855</v>
      </c>
      <c r="C14" s="1468" t="s">
        <v>355</v>
      </c>
      <c r="D14" s="39"/>
      <c r="E14" s="39"/>
      <c r="M14" s="5"/>
    </row>
    <row r="15" spans="2:14" ht="13.5" customHeight="1">
      <c r="B15" s="1552" t="s">
        <v>1736</v>
      </c>
      <c r="C15" s="1342">
        <f>Inputs!C348</f>
        <v>30000</v>
      </c>
      <c r="D15" s="39"/>
      <c r="E15" s="39"/>
      <c r="M15" s="5"/>
    </row>
    <row r="16" spans="2:14" ht="13.5" customHeight="1">
      <c r="B16" s="1552" t="s">
        <v>1737</v>
      </c>
      <c r="C16" s="1343">
        <f>IF(Inputs!$C$340='Drop-Downs'!$G$7,0,Inputs!$C$341)</f>
        <v>1</v>
      </c>
      <c r="D16" s="1542"/>
      <c r="E16" s="39"/>
      <c r="M16" s="5"/>
    </row>
    <row r="17" spans="2:13" ht="13.5" customHeight="1">
      <c r="B17" s="1553" t="s">
        <v>1738</v>
      </c>
      <c r="C17" s="1549">
        <f>100%-SUM(C16,C18)</f>
        <v>0</v>
      </c>
      <c r="D17" s="1550"/>
      <c r="E17" s="39"/>
      <c r="M17" s="5"/>
    </row>
    <row r="18" spans="2:13" ht="13.5" customHeight="1">
      <c r="B18" s="1552" t="s">
        <v>1739</v>
      </c>
      <c r="C18" s="1549">
        <f>IF(Inputs!$C$340='Drop-Downs'!$G$7,Inputs!$C$341,0)</f>
        <v>0</v>
      </c>
      <c r="D18" s="1550"/>
      <c r="E18" s="39"/>
      <c r="M18" s="5"/>
    </row>
    <row r="19" spans="2:13" ht="13.5" customHeight="1">
      <c r="B19" s="1553" t="s">
        <v>1740</v>
      </c>
      <c r="C19" s="1344">
        <f>C15*C16</f>
        <v>30000</v>
      </c>
      <c r="D19" s="39"/>
      <c r="E19" s="39"/>
      <c r="M19" s="5"/>
    </row>
    <row r="20" spans="2:13" ht="13.5" customHeight="1">
      <c r="B20" s="1553" t="s">
        <v>1741</v>
      </c>
      <c r="C20" s="1344">
        <f>C15*C17</f>
        <v>0</v>
      </c>
      <c r="D20" s="39"/>
      <c r="E20" s="39"/>
      <c r="M20" s="5"/>
    </row>
    <row r="21" spans="2:13" ht="13.5" customHeight="1" thickBot="1">
      <c r="B21" s="1554" t="s">
        <v>1742</v>
      </c>
      <c r="C21" s="1396">
        <f>C18*C15</f>
        <v>0</v>
      </c>
      <c r="D21" s="39"/>
      <c r="E21" s="39"/>
      <c r="M21" s="5"/>
    </row>
    <row r="22" spans="2:13" ht="13.5" customHeight="1" thickBot="1">
      <c r="B22" s="1119"/>
      <c r="C22" s="4"/>
      <c r="D22" s="39"/>
      <c r="E22" s="39"/>
      <c r="M22" s="5"/>
    </row>
    <row r="23" spans="2:13" ht="13.5" customHeight="1">
      <c r="B23" s="2110" t="s">
        <v>1743</v>
      </c>
      <c r="C23" s="2111"/>
      <c r="D23" s="39"/>
      <c r="E23" s="39"/>
      <c r="M23" s="5"/>
    </row>
    <row r="24" spans="2:13" ht="13.5" customHeight="1">
      <c r="B24" s="1555" t="s">
        <v>855</v>
      </c>
      <c r="C24" s="88" t="s">
        <v>355</v>
      </c>
      <c r="D24" s="39"/>
      <c r="E24" s="39"/>
      <c r="M24" s="5"/>
    </row>
    <row r="25" spans="2:13" ht="13.5" customHeight="1">
      <c r="B25" s="1552" t="s">
        <v>356</v>
      </c>
      <c r="C25" s="1564">
        <f>'Adjust Inventory Year'!C138</f>
        <v>8.5000000000000006E-2</v>
      </c>
      <c r="D25" s="1521"/>
      <c r="E25" s="39"/>
      <c r="M25" s="5"/>
    </row>
    <row r="26" spans="2:13" ht="13.5" customHeight="1">
      <c r="B26" s="1552" t="s">
        <v>357</v>
      </c>
      <c r="C26" s="1564">
        <f>'Adjust Inventory Year'!C139</f>
        <v>0.6</v>
      </c>
      <c r="D26" s="1521"/>
      <c r="E26" s="39"/>
      <c r="M26" s="5"/>
    </row>
    <row r="27" spans="2:13" ht="13.5" customHeight="1">
      <c r="B27" s="1552" t="s">
        <v>358</v>
      </c>
      <c r="C27" s="1564">
        <f>'Adjust Inventory Year'!C140</f>
        <v>0.5</v>
      </c>
      <c r="D27" s="1521"/>
      <c r="E27" s="39"/>
      <c r="M27" s="5"/>
    </row>
    <row r="28" spans="2:13" ht="13.5" customHeight="1">
      <c r="B28" s="1552" t="s">
        <v>1744</v>
      </c>
      <c r="C28" s="1564">
        <f>C26*C27</f>
        <v>0.3</v>
      </c>
      <c r="D28" s="1521"/>
      <c r="E28" s="39"/>
      <c r="M28" s="5"/>
    </row>
    <row r="29" spans="2:13" ht="27.6" customHeight="1">
      <c r="B29" s="1563" t="s">
        <v>359</v>
      </c>
      <c r="C29" s="1564">
        <f>'Adjust Inventory Year'!C141</f>
        <v>0.75</v>
      </c>
      <c r="D29" s="1521"/>
      <c r="E29" s="39"/>
      <c r="M29" s="5"/>
    </row>
    <row r="30" spans="2:13" ht="13.5" customHeight="1" thickBot="1">
      <c r="B30" s="1543" t="s">
        <v>1745</v>
      </c>
      <c r="C30" s="1410">
        <f>$C$20*(1-$C$29/2)*$C$25*365*$C$28/1000</f>
        <v>0</v>
      </c>
      <c r="E30" s="39"/>
      <c r="M30" s="5"/>
    </row>
    <row r="31" spans="2:13" ht="13.5" customHeight="1" thickBot="1">
      <c r="B31" s="4"/>
      <c r="C31" s="4"/>
      <c r="D31" s="39"/>
      <c r="E31" s="39"/>
      <c r="M31" s="5"/>
    </row>
    <row r="32" spans="2:13" ht="15.6" customHeight="1">
      <c r="B32" s="2110" t="s">
        <v>1746</v>
      </c>
      <c r="C32" s="2111"/>
      <c r="D32" s="39"/>
      <c r="E32" s="39"/>
      <c r="M32" s="5"/>
    </row>
    <row r="33" spans="2:13" ht="13.5" customHeight="1">
      <c r="B33" s="1555" t="s">
        <v>855</v>
      </c>
      <c r="C33" s="88" t="s">
        <v>355</v>
      </c>
      <c r="D33" s="39"/>
      <c r="E33" s="39"/>
      <c r="M33" s="5"/>
    </row>
    <row r="34" spans="2:13" ht="13.5" customHeight="1">
      <c r="B34" s="1552" t="s">
        <v>361</v>
      </c>
      <c r="C34" s="1564">
        <f>'Adjust Inventory Year'!C145</f>
        <v>0.09</v>
      </c>
      <c r="D34" s="1521"/>
      <c r="E34" s="39"/>
      <c r="M34" s="5"/>
    </row>
    <row r="35" spans="2:13" ht="13.5" customHeight="1">
      <c r="B35" s="1552" t="s">
        <v>362</v>
      </c>
      <c r="C35" s="1564">
        <f>'Adjust Inventory Year'!C146</f>
        <v>0.6</v>
      </c>
      <c r="D35" s="1521"/>
      <c r="E35" s="39"/>
      <c r="M35" s="5"/>
    </row>
    <row r="36" spans="2:13" ht="13.5" customHeight="1">
      <c r="B36" s="1552" t="s">
        <v>363</v>
      </c>
      <c r="C36" s="1564">
        <f>'Adjust Inventory Year'!C147</f>
        <v>0.03</v>
      </c>
      <c r="D36" s="1521"/>
      <c r="E36" s="39"/>
      <c r="M36" s="5"/>
    </row>
    <row r="37" spans="2:13" ht="13.5" customHeight="1">
      <c r="B37" s="1552" t="s">
        <v>1747</v>
      </c>
      <c r="C37" s="1565">
        <f>C35*C36</f>
        <v>1.7999999999999999E-2</v>
      </c>
      <c r="D37" s="30"/>
      <c r="E37" s="39"/>
      <c r="M37" s="5"/>
    </row>
    <row r="38" spans="2:13" ht="13.5" customHeight="1" thickBot="1">
      <c r="B38" s="1543" t="s">
        <v>1745</v>
      </c>
      <c r="C38" s="1410">
        <f>$C$21*$C$34*365*$C$37/1000</f>
        <v>0</v>
      </c>
      <c r="D38" s="39"/>
      <c r="E38" s="39"/>
      <c r="M38" s="5"/>
    </row>
    <row r="39" spans="2:13" ht="13.5" customHeight="1" thickBot="1">
      <c r="B39" s="1119"/>
      <c r="C39" s="4"/>
      <c r="D39" s="39"/>
      <c r="E39" s="39"/>
      <c r="M39" s="5"/>
    </row>
    <row r="40" spans="2:13" ht="13.5" customHeight="1">
      <c r="B40" s="2110" t="s">
        <v>1748</v>
      </c>
      <c r="C40" s="2111"/>
      <c r="D40" s="39"/>
      <c r="E40" s="39"/>
      <c r="M40" s="5"/>
    </row>
    <row r="41" spans="2:13" ht="13.5" customHeight="1">
      <c r="B41" s="1555" t="s">
        <v>855</v>
      </c>
      <c r="C41" s="88" t="s">
        <v>355</v>
      </c>
      <c r="D41" s="39"/>
      <c r="E41" s="39"/>
      <c r="M41" s="5"/>
    </row>
    <row r="42" spans="2:13" ht="13.5" customHeight="1">
      <c r="B42" s="1552" t="s">
        <v>1749</v>
      </c>
      <c r="C42" s="1564">
        <f>'Adjust Inventory Year'!C151</f>
        <v>4</v>
      </c>
      <c r="D42" s="1521"/>
      <c r="E42" s="39"/>
      <c r="M42" s="5"/>
    </row>
    <row r="43" spans="2:13" ht="13.5" customHeight="1" thickBot="1">
      <c r="B43" s="1543" t="s">
        <v>1750</v>
      </c>
      <c r="C43" s="1455">
        <f>SUM(C19,C21)*$C$42/1000000</f>
        <v>0.12</v>
      </c>
      <c r="D43" s="39"/>
      <c r="E43" s="39"/>
      <c r="M43" s="5"/>
    </row>
    <row r="44" spans="2:13" ht="13.5" customHeight="1" thickBot="1">
      <c r="B44" s="1119"/>
      <c r="C44" s="4"/>
      <c r="D44" s="39"/>
      <c r="E44" s="39"/>
      <c r="M44" s="5"/>
    </row>
    <row r="45" spans="2:13" ht="13.5" customHeight="1">
      <c r="B45" s="2110" t="s">
        <v>1751</v>
      </c>
      <c r="C45" s="2111"/>
      <c r="D45" s="39"/>
      <c r="E45" s="39"/>
      <c r="M45" s="5"/>
    </row>
    <row r="46" spans="2:13" ht="13.5" customHeight="1">
      <c r="B46" s="1555" t="s">
        <v>855</v>
      </c>
      <c r="C46" s="88" t="s">
        <v>355</v>
      </c>
      <c r="D46" s="39"/>
      <c r="E46" s="39"/>
      <c r="M46" s="5"/>
    </row>
    <row r="47" spans="2:13" ht="13.5" customHeight="1">
      <c r="B47" s="1563" t="s">
        <v>367</v>
      </c>
      <c r="C47" s="1564">
        <f>'Adjust Inventory Year'!C155</f>
        <v>0.16</v>
      </c>
      <c r="D47" s="1521"/>
      <c r="E47" s="39"/>
      <c r="M47" s="5"/>
    </row>
    <row r="48" spans="2:13" ht="26.45">
      <c r="B48" s="1563" t="s">
        <v>368</v>
      </c>
      <c r="C48" s="1564">
        <f>'Adjust Inventory Year'!C156</f>
        <v>1.75</v>
      </c>
      <c r="D48" s="1521"/>
      <c r="E48" s="39"/>
      <c r="M48" s="5"/>
    </row>
    <row r="49" spans="2:13" ht="26.45">
      <c r="B49" s="1563" t="s">
        <v>369</v>
      </c>
      <c r="C49" s="1564">
        <f>'Adjust Inventory Year'!C157</f>
        <v>5.0000000000000001E-3</v>
      </c>
      <c r="D49" s="1521"/>
      <c r="E49" s="39"/>
      <c r="M49" s="5"/>
    </row>
    <row r="50" spans="2:13" ht="13.15" customHeight="1">
      <c r="B50" s="1563" t="s">
        <v>370</v>
      </c>
      <c r="C50" s="1564">
        <f>'Adjust Inventory Year'!C158</f>
        <v>34.4</v>
      </c>
      <c r="D50" s="1521"/>
      <c r="E50" s="39"/>
      <c r="M50" s="5"/>
    </row>
    <row r="51" spans="2:13" ht="13.5" customHeight="1">
      <c r="B51" s="1563" t="s">
        <v>371</v>
      </c>
      <c r="C51" s="1564">
        <f>'Adjust Inventory Year'!C159</f>
        <v>0.4</v>
      </c>
      <c r="D51" s="1521"/>
      <c r="E51" s="39"/>
      <c r="M51" s="5"/>
    </row>
    <row r="52" spans="2:13" ht="13.5" customHeight="1" thickBot="1">
      <c r="B52" s="1566" t="s">
        <v>1750</v>
      </c>
      <c r="C52" s="1455">
        <f>((($C$15*$C$50*$C$47*$C$48)-($C$43*1000*28/44))*(1-$C$51)*$C$49*44/28)/1000</f>
        <v>1.3618799999999998</v>
      </c>
      <c r="E52" s="39"/>
      <c r="M52" s="5"/>
    </row>
    <row r="53" spans="2:13" ht="13.5" customHeight="1">
      <c r="B53" s="30"/>
      <c r="C53" s="4"/>
      <c r="E53" s="39"/>
      <c r="M53" s="5"/>
    </row>
    <row r="54" spans="2:13" ht="13.5" customHeight="1">
      <c r="B54" s="30"/>
      <c r="C54" s="4"/>
      <c r="E54" s="39"/>
      <c r="M54" s="5"/>
    </row>
    <row r="55" spans="2:13" ht="13.5" customHeight="1">
      <c r="B55" s="1119"/>
      <c r="C55" s="4"/>
      <c r="D55" s="39"/>
      <c r="E55" s="39"/>
      <c r="M55" s="5"/>
    </row>
    <row r="56" spans="2:13" ht="13.5" customHeight="1">
      <c r="B56" s="1119"/>
      <c r="C56" s="4"/>
      <c r="D56" s="39"/>
      <c r="E56" s="39"/>
      <c r="M56" s="5"/>
    </row>
    <row r="57" spans="2:13">
      <c r="B57" s="4"/>
      <c r="C57" s="4"/>
    </row>
    <row r="58" spans="2:13">
      <c r="B58" s="4"/>
      <c r="C58" s="4"/>
    </row>
    <row r="59" spans="2:13" ht="16.5" customHeight="1">
      <c r="B59" s="4"/>
      <c r="C59" s="4"/>
    </row>
    <row r="61" spans="2:13">
      <c r="B61" s="1471"/>
      <c r="C61" s="472"/>
      <c r="D61"/>
      <c r="E61"/>
      <c r="F61"/>
      <c r="G61"/>
      <c r="H61"/>
    </row>
    <row r="62" spans="2:13">
      <c r="B62" s="1544"/>
      <c r="C62" s="1545"/>
      <c r="D62"/>
      <c r="E62" s="395"/>
      <c r="F62"/>
      <c r="G62"/>
      <c r="H62"/>
    </row>
    <row r="63" spans="2:13">
      <c r="B63" s="1544"/>
      <c r="C63" s="1545"/>
      <c r="D63"/>
      <c r="E63" s="482"/>
      <c r="F63"/>
      <c r="G63" s="482"/>
      <c r="H63"/>
    </row>
    <row r="64" spans="2:13">
      <c r="B64" s="1544"/>
      <c r="C64" s="1545"/>
      <c r="D64"/>
      <c r="E64" s="482"/>
      <c r="F64"/>
      <c r="G64" s="482"/>
      <c r="H64"/>
    </row>
    <row r="65" spans="2:8">
      <c r="B65" s="1544"/>
      <c r="C65" s="1545"/>
      <c r="D65"/>
      <c r="E65" s="482"/>
      <c r="F65"/>
      <c r="G65"/>
      <c r="H65"/>
    </row>
    <row r="66" spans="2:8">
      <c r="C66" s="472"/>
      <c r="D66"/>
      <c r="E66" s="482"/>
      <c r="F66"/>
      <c r="G66" s="482"/>
      <c r="H66"/>
    </row>
    <row r="67" spans="2:8">
      <c r="B67" s="1546"/>
      <c r="C67" s="472"/>
      <c r="D67"/>
      <c r="E67" s="482"/>
      <c r="F67"/>
      <c r="G67"/>
      <c r="H67"/>
    </row>
    <row r="68" spans="2:8">
      <c r="B68" s="1544"/>
      <c r="C68" s="472"/>
      <c r="D68"/>
      <c r="E68" s="482"/>
      <c r="F68"/>
      <c r="G68"/>
      <c r="H68"/>
    </row>
    <row r="69" spans="2:8">
      <c r="B69" s="1546"/>
      <c r="C69" s="1545"/>
      <c r="D69"/>
      <c r="E69"/>
      <c r="F69"/>
      <c r="G69"/>
      <c r="H69"/>
    </row>
    <row r="70" spans="2:8">
      <c r="B70" s="1546"/>
      <c r="C70" s="1547"/>
      <c r="D70"/>
      <c r="E70" s="395"/>
      <c r="F70"/>
      <c r="G70"/>
      <c r="H70"/>
    </row>
    <row r="71" spans="2:8">
      <c r="C71" s="472"/>
      <c r="D71"/>
      <c r="E71"/>
      <c r="F71"/>
      <c r="G71"/>
      <c r="H71"/>
    </row>
    <row r="72" spans="2:8">
      <c r="B72" s="1546"/>
      <c r="C72" s="472"/>
      <c r="D72"/>
      <c r="E72"/>
      <c r="F72"/>
      <c r="G72"/>
      <c r="H72"/>
    </row>
    <row r="73" spans="2:8">
      <c r="B73" s="1546"/>
      <c r="C73" s="1548"/>
      <c r="D73"/>
      <c r="E73"/>
      <c r="F73"/>
      <c r="G73"/>
      <c r="H73"/>
    </row>
    <row r="74" spans="2:8">
      <c r="B74" s="1546"/>
      <c r="C74" s="1547"/>
      <c r="D74"/>
      <c r="E74"/>
      <c r="F74"/>
      <c r="G74"/>
      <c r="H74"/>
    </row>
    <row r="75" spans="2:8">
      <c r="C75" s="472"/>
      <c r="D75"/>
      <c r="E75"/>
      <c r="F75"/>
      <c r="G75"/>
      <c r="H75"/>
    </row>
    <row r="76" spans="2:8">
      <c r="C76" s="472"/>
      <c r="D76"/>
      <c r="E76" s="395"/>
      <c r="F76"/>
      <c r="G76"/>
      <c r="H76"/>
    </row>
    <row r="77" spans="2:8">
      <c r="C77" s="472"/>
      <c r="D77"/>
      <c r="E77"/>
      <c r="F77"/>
      <c r="G77"/>
      <c r="H77"/>
    </row>
    <row r="78" spans="2:8">
      <c r="C78" s="472"/>
      <c r="D78"/>
      <c r="E78"/>
      <c r="F78"/>
      <c r="G78"/>
      <c r="H78"/>
    </row>
    <row r="79" spans="2:8">
      <c r="C79" s="472"/>
      <c r="D79"/>
      <c r="E79" s="395"/>
      <c r="F79"/>
      <c r="G79"/>
      <c r="H79"/>
    </row>
    <row r="80" spans="2:8">
      <c r="C80" s="472"/>
      <c r="D80"/>
      <c r="E80"/>
      <c r="F80"/>
      <c r="G80"/>
      <c r="H80"/>
    </row>
    <row r="81" spans="3:8">
      <c r="C81" s="472"/>
      <c r="D81"/>
      <c r="E81"/>
      <c r="F81"/>
      <c r="G81"/>
      <c r="H81"/>
    </row>
    <row r="82" spans="3:8">
      <c r="C82" s="472"/>
      <c r="D82"/>
      <c r="E82"/>
      <c r="F82"/>
      <c r="G82"/>
      <c r="H82"/>
    </row>
    <row r="83" spans="3:8">
      <c r="C83" s="472"/>
      <c r="D83"/>
      <c r="E83" s="482"/>
      <c r="F83"/>
      <c r="G83"/>
      <c r="H83"/>
    </row>
    <row r="84" spans="3:8">
      <c r="C84" s="472"/>
      <c r="D84"/>
      <c r="E84" s="482"/>
      <c r="F84"/>
      <c r="G84"/>
      <c r="H84"/>
    </row>
    <row r="85" spans="3:8">
      <c r="C85" s="472"/>
      <c r="D85"/>
      <c r="E85"/>
      <c r="F85"/>
      <c r="G85"/>
      <c r="H85"/>
    </row>
  </sheetData>
  <mergeCells count="13">
    <mergeCell ref="B32:C32"/>
    <mergeCell ref="B40:C40"/>
    <mergeCell ref="B45:C45"/>
    <mergeCell ref="B2:E2"/>
    <mergeCell ref="B6:E6"/>
    <mergeCell ref="C3:E3"/>
    <mergeCell ref="C4:E4"/>
    <mergeCell ref="F7:I7"/>
    <mergeCell ref="B13:C13"/>
    <mergeCell ref="B23:C23"/>
    <mergeCell ref="J7:K7"/>
    <mergeCell ref="B7:E7"/>
    <mergeCell ref="B9:C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1:P159"/>
  <sheetViews>
    <sheetView showGridLines="0" tabSelected="1" topLeftCell="A77" zoomScaleNormal="100" workbookViewId="0">
      <selection activeCell="F81" sqref="F81"/>
    </sheetView>
  </sheetViews>
  <sheetFormatPr defaultColWidth="9.140625" defaultRowHeight="13.15"/>
  <cols>
    <col min="1" max="1" width="1.5703125" style="4" customWidth="1"/>
    <col min="2" max="2" width="49.5703125" style="4" customWidth="1"/>
    <col min="3" max="3" width="18.5703125" style="4" customWidth="1"/>
    <col min="4" max="4" width="19.140625" style="4" customWidth="1"/>
    <col min="5" max="5" width="23.42578125" style="4" customWidth="1"/>
    <col min="6" max="6" width="19.28515625" style="4" customWidth="1"/>
    <col min="7" max="7" width="20.5703125" style="4" customWidth="1"/>
    <col min="8" max="8" width="10" style="4" bestFit="1" customWidth="1"/>
    <col min="9" max="9" width="11" style="4" bestFit="1" customWidth="1"/>
    <col min="10" max="16384" width="9.140625" style="4"/>
  </cols>
  <sheetData>
    <row r="1" spans="2:7" ht="13.9" thickBot="1"/>
    <row r="2" spans="2:7" ht="24" customHeight="1" thickBot="1">
      <c r="B2" s="1671" t="s">
        <v>209</v>
      </c>
      <c r="C2" s="1688"/>
      <c r="D2" s="1688"/>
      <c r="E2" s="1689"/>
    </row>
    <row r="3" spans="2:7" ht="13.9" thickBot="1"/>
    <row r="4" spans="2:7" ht="107.25" customHeight="1" thickBot="1">
      <c r="B4" s="1695" t="s">
        <v>210</v>
      </c>
      <c r="C4" s="1696"/>
      <c r="D4" s="1696"/>
      <c r="E4" s="1697"/>
    </row>
    <row r="5" spans="2:7" ht="13.9" thickBot="1"/>
    <row r="6" spans="2:7" ht="13.9" thickBot="1">
      <c r="B6" s="508" t="s">
        <v>9</v>
      </c>
      <c r="C6" s="1056">
        <f>Inputs!C14</f>
        <v>2022</v>
      </c>
    </row>
    <row r="7" spans="2:7" ht="13.9" thickBot="1"/>
    <row r="8" spans="2:7" ht="31.5" customHeight="1" thickBot="1">
      <c r="B8" s="1671" t="s">
        <v>211</v>
      </c>
      <c r="C8" s="1672"/>
      <c r="D8" s="1672"/>
      <c r="E8" s="1670"/>
    </row>
    <row r="9" spans="2:7" ht="12" customHeight="1" thickBot="1">
      <c r="B9" s="1120"/>
      <c r="C9" s="1121"/>
      <c r="D9" s="1121"/>
      <c r="E9" s="472"/>
    </row>
    <row r="10" spans="2:7" ht="62.45" customHeight="1" thickBot="1">
      <c r="B10" s="1668" t="s">
        <v>212</v>
      </c>
      <c r="C10" s="1669"/>
      <c r="D10" s="1673"/>
      <c r="E10" s="1060" t="s">
        <v>213</v>
      </c>
    </row>
    <row r="11" spans="2:7" ht="26.25" customHeight="1" thickBot="1">
      <c r="B11" s="1729" t="s">
        <v>214</v>
      </c>
      <c r="C11" s="1734"/>
      <c r="D11" s="1734"/>
      <c r="E11" s="1734"/>
      <c r="F11" s="1730"/>
      <c r="G11"/>
    </row>
    <row r="12" spans="2:7">
      <c r="B12" s="1178" t="s">
        <v>215</v>
      </c>
      <c r="C12" s="1188" t="s">
        <v>216</v>
      </c>
      <c r="D12" s="1189" t="s">
        <v>217</v>
      </c>
      <c r="E12" s="1190" t="s">
        <v>218</v>
      </c>
      <c r="F12" s="1191" t="s">
        <v>219</v>
      </c>
    </row>
    <row r="13" spans="2:7">
      <c r="B13" s="237" t="s">
        <v>220</v>
      </c>
      <c r="C13" s="1194">
        <v>53.06</v>
      </c>
      <c r="D13" s="1199"/>
      <c r="E13" s="1199"/>
      <c r="F13" s="1192"/>
    </row>
    <row r="14" spans="2:7" ht="13.9" thickBot="1">
      <c r="B14" s="597" t="s">
        <v>221</v>
      </c>
      <c r="C14" s="1200"/>
      <c r="D14" s="1195">
        <v>7.3959999999999998E-2</v>
      </c>
      <c r="E14" s="1196">
        <v>3.0000000000000001E-6</v>
      </c>
      <c r="F14" s="1197">
        <v>5.9999999999999997E-7</v>
      </c>
    </row>
    <row r="15" spans="2:7" ht="13.9" thickBot="1">
      <c r="B15" s="1185"/>
      <c r="C15" s="1185"/>
      <c r="D15" s="1187"/>
      <c r="E15" s="1186"/>
      <c r="F15" s="1183"/>
      <c r="G15" s="1184"/>
    </row>
    <row r="16" spans="2:7" ht="180.6" customHeight="1" thickBot="1">
      <c r="B16" s="1668" t="s">
        <v>222</v>
      </c>
      <c r="C16" s="1669"/>
      <c r="D16" s="1673"/>
      <c r="E16" s="1143" t="s">
        <v>223</v>
      </c>
    </row>
    <row r="17" spans="2:7" s="1164" customFormat="1" ht="24.75" customHeight="1" thickBot="1">
      <c r="B17" s="1729" t="s">
        <v>224</v>
      </c>
      <c r="C17" s="1734"/>
      <c r="D17" s="1730"/>
      <c r="E17"/>
    </row>
    <row r="18" spans="2:7" ht="51" customHeight="1">
      <c r="B18" s="1167" t="s">
        <v>225</v>
      </c>
      <c r="C18" s="1160" t="s">
        <v>226</v>
      </c>
      <c r="D18" s="556" t="s">
        <v>227</v>
      </c>
      <c r="E18" s="1756"/>
      <c r="F18" s="1757"/>
    </row>
    <row r="19" spans="2:7">
      <c r="B19" s="1142" t="s">
        <v>228</v>
      </c>
      <c r="C19" s="1637">
        <v>540</v>
      </c>
      <c r="D19" s="1161"/>
      <c r="E19" s="1756"/>
      <c r="F19" s="1757"/>
    </row>
    <row r="20" spans="2:7">
      <c r="B20" s="397" t="s">
        <v>229</v>
      </c>
      <c r="C20" s="1637">
        <v>4.2999999999999997E-2</v>
      </c>
      <c r="D20" s="1162"/>
    </row>
    <row r="21" spans="2:7">
      <c r="B21" s="397" t="s">
        <v>230</v>
      </c>
      <c r="C21" s="1637">
        <v>6.0000000000000001E-3</v>
      </c>
      <c r="D21" s="1162"/>
    </row>
    <row r="22" spans="2:7" ht="13.9" thickBot="1">
      <c r="B22" s="1168" t="s">
        <v>231</v>
      </c>
      <c r="C22" s="1169"/>
      <c r="D22" s="1638">
        <v>637</v>
      </c>
    </row>
    <row r="23" spans="2:7" ht="13.9" thickBot="1"/>
    <row r="24" spans="2:7" ht="220.9" customHeight="1" thickBot="1">
      <c r="B24" s="1678" t="s">
        <v>232</v>
      </c>
      <c r="C24" s="1751"/>
      <c r="D24" s="1752"/>
      <c r="E24" s="1143" t="s">
        <v>223</v>
      </c>
    </row>
    <row r="25" spans="2:7" s="1164" customFormat="1" ht="23.25" customHeight="1" thickBot="1">
      <c r="B25" s="1729" t="s">
        <v>233</v>
      </c>
      <c r="C25" s="1734"/>
      <c r="D25" s="1734"/>
      <c r="E25" s="1730"/>
    </row>
    <row r="26" spans="2:7" ht="40.15" thickBot="1">
      <c r="B26" s="1753" t="s">
        <v>234</v>
      </c>
      <c r="C26" s="1754"/>
      <c r="D26" s="1755"/>
      <c r="E26" s="1502" t="s">
        <v>235</v>
      </c>
      <c r="F26" s="1756"/>
      <c r="G26" s="1757"/>
    </row>
    <row r="27" spans="2:7">
      <c r="B27" s="1748" t="s">
        <v>12</v>
      </c>
      <c r="C27" s="1749"/>
      <c r="D27" s="1750"/>
      <c r="E27" s="1639">
        <f>1851951/4396713</f>
        <v>0.42121261951826283</v>
      </c>
      <c r="F27" s="1756"/>
      <c r="G27" s="1757"/>
    </row>
    <row r="28" spans="2:7">
      <c r="B28" s="1758" t="s">
        <v>20</v>
      </c>
      <c r="C28" s="1759"/>
      <c r="D28" s="1760"/>
      <c r="E28" s="1639">
        <f>2622636/5931375</f>
        <v>0.44216324208130492</v>
      </c>
    </row>
    <row r="29" spans="2:7">
      <c r="B29" s="1745" t="s">
        <v>236</v>
      </c>
      <c r="C29" s="1746"/>
      <c r="D29" s="1747"/>
      <c r="E29" s="1640">
        <f>75999/178816</f>
        <v>0.42501230314960631</v>
      </c>
    </row>
    <row r="30" spans="2:7">
      <c r="B30" s="1745" t="s">
        <v>237</v>
      </c>
      <c r="C30" s="1746"/>
      <c r="D30" s="1747"/>
      <c r="E30" s="1641">
        <v>0.33500000000000002</v>
      </c>
    </row>
    <row r="31" spans="2:7">
      <c r="B31" s="1745" t="s">
        <v>238</v>
      </c>
      <c r="C31" s="1746"/>
      <c r="D31" s="1747"/>
      <c r="E31" s="1642">
        <v>0.38400000000000001</v>
      </c>
    </row>
    <row r="32" spans="2:7">
      <c r="B32" s="1745" t="s">
        <v>239</v>
      </c>
      <c r="C32" s="1746"/>
      <c r="D32" s="1747"/>
      <c r="E32" s="1642">
        <v>0.38800000000000001</v>
      </c>
    </row>
    <row r="33" spans="2:5">
      <c r="B33" s="1745" t="s">
        <v>240</v>
      </c>
      <c r="C33" s="1746"/>
      <c r="D33" s="1747"/>
      <c r="E33" s="1642">
        <v>0.56999999999999995</v>
      </c>
    </row>
    <row r="34" spans="2:5">
      <c r="B34" s="1745" t="s">
        <v>241</v>
      </c>
      <c r="C34" s="1746"/>
      <c r="D34" s="1747"/>
      <c r="E34" s="1642">
        <v>8.5999999999999993E-2</v>
      </c>
    </row>
    <row r="35" spans="2:5">
      <c r="B35" s="1745" t="s">
        <v>242</v>
      </c>
      <c r="C35" s="1746"/>
      <c r="D35" s="1747"/>
      <c r="E35" s="1642">
        <v>4.7E-2</v>
      </c>
    </row>
    <row r="36" spans="2:5">
      <c r="B36" s="1745" t="s">
        <v>243</v>
      </c>
      <c r="C36" s="1746"/>
      <c r="D36" s="1747"/>
      <c r="E36" s="1642">
        <f>(164922-2431)/175229</f>
        <v>0.92730655313903521</v>
      </c>
    </row>
    <row r="37" spans="2:5">
      <c r="B37" s="1745" t="s">
        <v>244</v>
      </c>
      <c r="C37" s="1746"/>
      <c r="D37" s="1747"/>
      <c r="E37" s="1642">
        <v>0.502</v>
      </c>
    </row>
    <row r="38" spans="2:5">
      <c r="B38" s="1745" t="s">
        <v>245</v>
      </c>
      <c r="C38" s="1746"/>
      <c r="D38" s="1747"/>
      <c r="E38" s="1642">
        <v>0.44</v>
      </c>
    </row>
    <row r="39" spans="2:5">
      <c r="B39" s="1745" t="s">
        <v>246</v>
      </c>
      <c r="C39" s="1746"/>
      <c r="D39" s="1747"/>
      <c r="E39" s="1642">
        <v>0.27400000000000002</v>
      </c>
    </row>
    <row r="40" spans="2:5">
      <c r="B40" s="1745" t="s">
        <v>247</v>
      </c>
      <c r="C40" s="1746"/>
      <c r="D40" s="1747"/>
      <c r="E40" s="1642">
        <v>0.125</v>
      </c>
    </row>
    <row r="41" spans="2:5">
      <c r="B41" s="1745" t="s">
        <v>248</v>
      </c>
      <c r="C41" s="1746"/>
      <c r="D41" s="1747"/>
      <c r="E41" s="1642">
        <v>0.442</v>
      </c>
    </row>
    <row r="42" spans="2:5">
      <c r="B42" s="1745" t="s">
        <v>249</v>
      </c>
      <c r="C42" s="1746"/>
      <c r="D42" s="1747"/>
      <c r="E42" s="1642">
        <v>0.53</v>
      </c>
    </row>
    <row r="43" spans="2:5">
      <c r="B43" s="1745" t="s">
        <v>250</v>
      </c>
      <c r="C43" s="1746"/>
      <c r="D43" s="1747"/>
      <c r="E43" s="1642">
        <v>0.34699999999999998</v>
      </c>
    </row>
    <row r="44" spans="2:5">
      <c r="B44" s="1745" t="s">
        <v>251</v>
      </c>
      <c r="C44" s="1746"/>
      <c r="D44" s="1747"/>
      <c r="E44" s="1642">
        <v>0.88400000000000001</v>
      </c>
    </row>
    <row r="45" spans="2:5">
      <c r="B45" s="1745" t="s">
        <v>252</v>
      </c>
      <c r="C45" s="1746"/>
      <c r="D45" s="1747"/>
      <c r="E45" s="1642">
        <v>0.51</v>
      </c>
    </row>
    <row r="46" spans="2:5">
      <c r="B46" s="1745" t="s">
        <v>253</v>
      </c>
      <c r="C46" s="1746"/>
      <c r="D46" s="1747"/>
      <c r="E46" s="1642">
        <v>0.218</v>
      </c>
    </row>
    <row r="47" spans="2:5">
      <c r="B47" s="1745" t="s">
        <v>254</v>
      </c>
      <c r="C47" s="1746"/>
      <c r="D47" s="1747"/>
      <c r="E47" s="1642">
        <v>7.4999999999999997E-2</v>
      </c>
    </row>
    <row r="48" spans="2:5">
      <c r="B48" s="1745" t="s">
        <v>255</v>
      </c>
      <c r="C48" s="1746"/>
      <c r="D48" s="1747"/>
      <c r="E48" s="1642">
        <v>0.47699999999999998</v>
      </c>
    </row>
    <row r="49" spans="2:5">
      <c r="B49" s="1745" t="s">
        <v>256</v>
      </c>
      <c r="C49" s="1746"/>
      <c r="D49" s="1747"/>
      <c r="E49" s="1642">
        <v>0.35499999999999998</v>
      </c>
    </row>
    <row r="50" spans="2:5">
      <c r="B50" s="1745" t="s">
        <v>257</v>
      </c>
      <c r="C50" s="1746"/>
      <c r="D50" s="1747"/>
      <c r="E50" s="1642">
        <v>0.214</v>
      </c>
    </row>
    <row r="51" spans="2:5">
      <c r="B51" s="1745" t="s">
        <v>258</v>
      </c>
      <c r="C51" s="1746"/>
      <c r="D51" s="1747"/>
      <c r="E51" s="1642">
        <v>0.63400000000000001</v>
      </c>
    </row>
    <row r="52" spans="2:5">
      <c r="B52" s="1745" t="s">
        <v>259</v>
      </c>
      <c r="C52" s="1746"/>
      <c r="D52" s="1747"/>
      <c r="E52" s="1642">
        <v>0.34899999999999998</v>
      </c>
    </row>
    <row r="53" spans="2:5">
      <c r="B53" s="1745" t="s">
        <v>260</v>
      </c>
      <c r="C53" s="1746"/>
      <c r="D53" s="1747"/>
      <c r="E53" s="1642">
        <v>0.27</v>
      </c>
    </row>
    <row r="54" spans="2:5">
      <c r="B54" s="1745" t="s">
        <v>261</v>
      </c>
      <c r="C54" s="1746"/>
      <c r="D54" s="1747"/>
      <c r="E54" s="1642">
        <v>0.29299999999999998</v>
      </c>
    </row>
    <row r="55" spans="2:5">
      <c r="B55" s="1745" t="s">
        <v>262</v>
      </c>
      <c r="C55" s="1746"/>
      <c r="D55" s="1747"/>
      <c r="E55" s="1642">
        <v>0.54200000000000004</v>
      </c>
    </row>
    <row r="56" spans="2:5">
      <c r="B56" s="1745" t="s">
        <v>263</v>
      </c>
      <c r="C56" s="1746"/>
      <c r="D56" s="1747"/>
      <c r="E56" s="1642">
        <v>0.35199999999999998</v>
      </c>
    </row>
    <row r="57" spans="2:5">
      <c r="B57" s="1745" t="s">
        <v>264</v>
      </c>
      <c r="C57" s="1746"/>
      <c r="D57" s="1747"/>
      <c r="E57" s="1642">
        <v>0.08</v>
      </c>
    </row>
    <row r="58" spans="2:5">
      <c r="B58" s="1745" t="s">
        <v>265</v>
      </c>
      <c r="C58" s="1746"/>
      <c r="D58" s="1747"/>
      <c r="E58" s="1642">
        <v>0.26700000000000002</v>
      </c>
    </row>
    <row r="59" spans="2:5">
      <c r="B59" s="1745" t="s">
        <v>266</v>
      </c>
      <c r="C59" s="1746"/>
      <c r="D59" s="1747"/>
      <c r="E59" s="1642">
        <v>9.0999999999999998E-2</v>
      </c>
    </row>
    <row r="60" spans="2:5">
      <c r="B60" s="1745" t="s">
        <v>267</v>
      </c>
      <c r="C60" s="1746"/>
      <c r="D60" s="1747"/>
      <c r="E60" s="1642">
        <v>7.4999999999999997E-2</v>
      </c>
    </row>
    <row r="61" spans="2:5">
      <c r="B61" s="1745" t="s">
        <v>268</v>
      </c>
      <c r="C61" s="1746"/>
      <c r="D61" s="1747"/>
      <c r="E61" s="1642">
        <v>0.35399999999999998</v>
      </c>
    </row>
    <row r="62" spans="2:5">
      <c r="B62" s="1745" t="s">
        <v>269</v>
      </c>
      <c r="C62" s="1746"/>
      <c r="D62" s="1747"/>
      <c r="E62" s="1642">
        <v>0.83499999999999996</v>
      </c>
    </row>
    <row r="63" spans="2:5">
      <c r="B63" s="1745" t="s">
        <v>270</v>
      </c>
      <c r="C63" s="1746"/>
      <c r="D63" s="1747"/>
      <c r="E63" s="1642">
        <v>0.39400000000000002</v>
      </c>
    </row>
    <row r="64" spans="2:5">
      <c r="B64" s="1745" t="s">
        <v>271</v>
      </c>
      <c r="C64" s="1746"/>
      <c r="D64" s="1747"/>
      <c r="E64" s="1642">
        <v>0.26900000000000002</v>
      </c>
    </row>
    <row r="65" spans="2:5">
      <c r="B65" s="1745" t="s">
        <v>272</v>
      </c>
      <c r="C65" s="1746"/>
      <c r="D65" s="1747"/>
      <c r="E65" s="1642">
        <v>0.442</v>
      </c>
    </row>
    <row r="66" spans="2:5">
      <c r="B66" s="1745" t="s">
        <v>273</v>
      </c>
      <c r="C66" s="1746"/>
      <c r="D66" s="1747"/>
      <c r="E66" s="1642">
        <v>0.40699999999999997</v>
      </c>
    </row>
    <row r="67" spans="2:5">
      <c r="B67" s="1745" t="s">
        <v>274</v>
      </c>
      <c r="C67" s="1746"/>
      <c r="D67" s="1747"/>
      <c r="E67" s="1642">
        <v>0.55200000000000005</v>
      </c>
    </row>
    <row r="68" spans="2:5">
      <c r="B68" s="1745" t="s">
        <v>275</v>
      </c>
      <c r="C68" s="1746"/>
      <c r="D68" s="1747"/>
      <c r="E68" s="1642">
        <v>0.51100000000000001</v>
      </c>
    </row>
    <row r="69" spans="2:5" ht="13.9" thickBot="1">
      <c r="B69" s="1735" t="s">
        <v>276</v>
      </c>
      <c r="C69" s="1736"/>
      <c r="D69" s="1737"/>
      <c r="E69" s="1643">
        <v>0.39</v>
      </c>
    </row>
    <row r="70" spans="2:5" ht="13.9" thickBot="1">
      <c r="B70" s="1181"/>
      <c r="C70" s="1181"/>
      <c r="D70" s="1181"/>
      <c r="E70" s="1182"/>
    </row>
    <row r="71" spans="2:5" ht="161.44999999999999" customHeight="1" thickBot="1">
      <c r="B71" s="1668" t="s">
        <v>277</v>
      </c>
      <c r="C71" s="1669"/>
      <c r="D71" s="1673"/>
      <c r="E71" s="1143" t="s">
        <v>278</v>
      </c>
    </row>
    <row r="72" spans="2:5" ht="25.5" customHeight="1" thickBot="1">
      <c r="B72" s="1729" t="s">
        <v>279</v>
      </c>
      <c r="C72" s="1730"/>
      <c r="D72" s="1456"/>
      <c r="E72" s="94"/>
    </row>
    <row r="73" spans="2:5" ht="26.45">
      <c r="B73" s="1167"/>
      <c r="C73" s="556" t="s">
        <v>280</v>
      </c>
      <c r="D73" s="1181"/>
      <c r="E73" s="1182"/>
    </row>
    <row r="74" spans="2:5" ht="13.9" thickBot="1">
      <c r="B74" s="1270" t="s">
        <v>281</v>
      </c>
      <c r="C74" s="1661">
        <v>0.2</v>
      </c>
      <c r="D74" s="1181"/>
      <c r="E74" s="1182"/>
    </row>
    <row r="75" spans="2:5" ht="13.9" thickBot="1">
      <c r="B75" s="1181"/>
      <c r="C75" s="1181"/>
      <c r="D75" s="1181"/>
      <c r="E75" s="1182"/>
    </row>
    <row r="76" spans="2:5" ht="176.45" customHeight="1" thickBot="1">
      <c r="B76" s="1668" t="s">
        <v>282</v>
      </c>
      <c r="C76" s="1669"/>
      <c r="D76" s="1673"/>
      <c r="E76" s="1143" t="s">
        <v>283</v>
      </c>
    </row>
    <row r="77" spans="2:5" ht="22.5" customHeight="1" thickBot="1">
      <c r="B77" s="1729" t="s">
        <v>284</v>
      </c>
      <c r="C77" s="1730"/>
      <c r="D77"/>
      <c r="E77" s="1182"/>
    </row>
    <row r="78" spans="2:5" ht="14.25" customHeight="1">
      <c r="B78" s="91" t="s">
        <v>285</v>
      </c>
      <c r="C78" s="1198" t="s">
        <v>286</v>
      </c>
      <c r="D78" s="1182"/>
    </row>
    <row r="79" spans="2:5" ht="13.9" thickBot="1">
      <c r="B79" s="1163">
        <v>29.8</v>
      </c>
      <c r="C79" s="1357">
        <v>273</v>
      </c>
      <c r="D79" s="1182"/>
    </row>
    <row r="80" spans="2:5" ht="13.9" thickBot="1">
      <c r="B80" s="1181"/>
      <c r="C80" s="1181"/>
      <c r="D80" s="1181"/>
      <c r="E80" s="1182"/>
    </row>
    <row r="81" spans="2:7" ht="168.6" customHeight="1">
      <c r="B81" s="1742" t="s">
        <v>287</v>
      </c>
      <c r="C81" s="1669"/>
      <c r="D81" s="1673"/>
      <c r="E81" s="1143" t="s">
        <v>213</v>
      </c>
      <c r="F81" s="1143" t="s">
        <v>288</v>
      </c>
      <c r="G81" s="1506"/>
    </row>
    <row r="82" spans="2:7" ht="26.25" customHeight="1" thickBot="1">
      <c r="B82" s="1729" t="s">
        <v>289</v>
      </c>
      <c r="C82" s="1734"/>
      <c r="D82" s="1734"/>
      <c r="E82" s="1734"/>
      <c r="F82" s="1730"/>
    </row>
    <row r="83" spans="2:7">
      <c r="B83" s="59" t="s">
        <v>215</v>
      </c>
      <c r="C83" s="233" t="s">
        <v>229</v>
      </c>
      <c r="D83" s="232" t="s">
        <v>228</v>
      </c>
      <c r="E83" s="232" t="s">
        <v>230</v>
      </c>
      <c r="F83" s="60" t="s">
        <v>290</v>
      </c>
    </row>
    <row r="84" spans="2:7">
      <c r="B84" s="593" t="s">
        <v>291</v>
      </c>
      <c r="C84" s="1513">
        <v>4.1399999999999997E-7</v>
      </c>
      <c r="D84" s="1511">
        <v>1.021E-2</v>
      </c>
      <c r="E84" s="1515">
        <v>8.28E-8</v>
      </c>
      <c r="F84" s="594" t="s">
        <v>292</v>
      </c>
    </row>
    <row r="85" spans="2:7">
      <c r="B85" s="595" t="s">
        <v>293</v>
      </c>
      <c r="C85" s="1514">
        <v>3.7500000000000001E-7</v>
      </c>
      <c r="D85" s="1512">
        <v>8.7799999999999996E-3</v>
      </c>
      <c r="E85" s="1516">
        <v>7.4999999999999997E-8</v>
      </c>
      <c r="F85" s="594" t="s">
        <v>292</v>
      </c>
    </row>
    <row r="86" spans="2:7" ht="13.9" thickBot="1">
      <c r="B86" s="597" t="s">
        <v>294</v>
      </c>
      <c r="C86" s="814"/>
      <c r="D86" s="1193">
        <v>5.4440000000000002E-2</v>
      </c>
      <c r="E86" s="814"/>
      <c r="F86" s="598" t="s">
        <v>295</v>
      </c>
    </row>
    <row r="87" spans="2:7" ht="13.9" thickBot="1"/>
    <row r="88" spans="2:7" ht="42" customHeight="1" thickBot="1">
      <c r="B88" s="1671" t="s">
        <v>296</v>
      </c>
      <c r="C88" s="1672"/>
      <c r="D88" s="1672"/>
      <c r="E88" s="1670"/>
    </row>
    <row r="89" spans="2:7" ht="13.9" thickBot="1"/>
    <row r="90" spans="2:7" ht="139.9" customHeight="1" thickBot="1">
      <c r="B90" s="1668" t="s">
        <v>297</v>
      </c>
      <c r="C90" s="1669"/>
      <c r="D90" s="1673"/>
      <c r="E90" s="1143" t="s">
        <v>298</v>
      </c>
    </row>
    <row r="91" spans="2:7" ht="22.5" customHeight="1" thickBot="1">
      <c r="B91" s="1729" t="s">
        <v>299</v>
      </c>
      <c r="C91" s="1734"/>
      <c r="D91" s="1734"/>
      <c r="E91" s="1730"/>
    </row>
    <row r="92" spans="2:7" ht="25.5" customHeight="1">
      <c r="B92" s="1178" t="s">
        <v>300</v>
      </c>
      <c r="C92" s="1738" t="s">
        <v>301</v>
      </c>
      <c r="D92" s="1739"/>
      <c r="E92" s="1467" t="s">
        <v>302</v>
      </c>
    </row>
    <row r="93" spans="2:7" ht="13.9" thickBot="1">
      <c r="B93" s="912">
        <v>54237623</v>
      </c>
      <c r="C93" s="1740">
        <v>838517</v>
      </c>
      <c r="D93" s="1741"/>
      <c r="E93" s="1613">
        <v>2757769</v>
      </c>
    </row>
    <row r="94" spans="2:7" ht="13.9" thickBot="1"/>
    <row r="95" spans="2:7" ht="42" customHeight="1" thickBot="1">
      <c r="B95" s="1671" t="s">
        <v>303</v>
      </c>
      <c r="C95" s="1672"/>
      <c r="D95" s="1672"/>
      <c r="E95" s="1670"/>
    </row>
    <row r="96" spans="2:7" ht="13.9" thickBot="1"/>
    <row r="97" spans="2:16" ht="205.9" customHeight="1" thickBot="1">
      <c r="B97" s="1684" t="s">
        <v>304</v>
      </c>
      <c r="C97" s="1743"/>
      <c r="D97" s="1744"/>
      <c r="E97" s="1567" t="s">
        <v>305</v>
      </c>
      <c r="F97" s="1567" t="s">
        <v>306</v>
      </c>
      <c r="I97" s="1570"/>
      <c r="J97" s="1570"/>
      <c r="L97" s="25"/>
      <c r="M97" s="25"/>
      <c r="N97" s="25"/>
      <c r="O97" s="25"/>
      <c r="P97" s="25"/>
    </row>
    <row r="98" spans="2:16" ht="24.75" customHeight="1" thickBot="1">
      <c r="B98" s="1724" t="s">
        <v>307</v>
      </c>
      <c r="C98" s="1725"/>
      <c r="D98" s="1725"/>
      <c r="E98" s="1725"/>
      <c r="F98" s="1725"/>
      <c r="G98" s="1726"/>
    </row>
    <row r="99" spans="2:16" ht="39.6" customHeight="1">
      <c r="B99" s="1178" t="s">
        <v>308</v>
      </c>
      <c r="C99" s="1179" t="s">
        <v>309</v>
      </c>
      <c r="D99" s="1179" t="s">
        <v>310</v>
      </c>
      <c r="E99" s="1179" t="s">
        <v>311</v>
      </c>
      <c r="F99" s="1722" t="s">
        <v>312</v>
      </c>
      <c r="G99" s="1723"/>
    </row>
    <row r="100" spans="2:16">
      <c r="B100" s="462" t="s">
        <v>313</v>
      </c>
      <c r="C100" s="1615" t="s">
        <v>314</v>
      </c>
      <c r="D100" s="1662">
        <v>2020.5177990015195</v>
      </c>
      <c r="E100" s="1309">
        <v>0.24</v>
      </c>
      <c r="F100" s="1720" t="s">
        <v>315</v>
      </c>
      <c r="G100" s="1721"/>
    </row>
    <row r="101" spans="2:16">
      <c r="B101" s="462" t="s">
        <v>316</v>
      </c>
      <c r="C101" s="1615" t="s">
        <v>317</v>
      </c>
      <c r="D101" s="1662">
        <v>2019.2963442251698</v>
      </c>
      <c r="E101" s="1309">
        <v>0.25</v>
      </c>
      <c r="F101" s="1720" t="s">
        <v>318</v>
      </c>
      <c r="G101" s="1721"/>
    </row>
    <row r="102" spans="2:16">
      <c r="B102" s="462" t="s">
        <v>319</v>
      </c>
      <c r="C102" s="1615" t="s">
        <v>320</v>
      </c>
      <c r="D102" s="1662">
        <v>2019.3104062722737</v>
      </c>
      <c r="E102" s="1309">
        <v>0.28000000000000003</v>
      </c>
      <c r="F102" s="1720" t="s">
        <v>321</v>
      </c>
      <c r="G102" s="1721"/>
    </row>
    <row r="103" spans="2:16">
      <c r="B103" s="462" t="s">
        <v>316</v>
      </c>
      <c r="C103" s="1615" t="s">
        <v>322</v>
      </c>
      <c r="D103" s="1662">
        <v>2021.4966832504147</v>
      </c>
      <c r="E103" s="1309">
        <v>0.36</v>
      </c>
      <c r="F103" s="1720" t="s">
        <v>323</v>
      </c>
      <c r="G103" s="1721"/>
    </row>
    <row r="104" spans="2:16">
      <c r="B104" s="462" t="s">
        <v>319</v>
      </c>
      <c r="C104" s="1615" t="s">
        <v>324</v>
      </c>
      <c r="D104" s="1662">
        <v>2016.8413754853023</v>
      </c>
      <c r="E104" s="1309">
        <v>0.31</v>
      </c>
      <c r="F104" s="1720" t="s">
        <v>325</v>
      </c>
      <c r="G104" s="1721"/>
    </row>
    <row r="105" spans="2:16">
      <c r="B105" s="462" t="s">
        <v>326</v>
      </c>
      <c r="C105" s="1615" t="s">
        <v>327</v>
      </c>
      <c r="D105" s="1662">
        <v>2018.2527472527472</v>
      </c>
      <c r="E105" s="1309">
        <v>0.3</v>
      </c>
      <c r="F105" s="1720" t="s">
        <v>328</v>
      </c>
      <c r="G105" s="1721"/>
    </row>
    <row r="106" spans="2:16" ht="13.9" thickBot="1">
      <c r="B106" s="938" t="s">
        <v>313</v>
      </c>
      <c r="C106" s="1389" t="s">
        <v>329</v>
      </c>
      <c r="D106" s="1448">
        <v>2017.1599402092675</v>
      </c>
      <c r="E106" s="1616">
        <v>0.37</v>
      </c>
      <c r="F106" s="1731" t="s">
        <v>330</v>
      </c>
      <c r="G106" s="1732"/>
    </row>
    <row r="107" spans="2:16" ht="13.9" thickBot="1"/>
    <row r="108" spans="2:16" ht="106.9" customHeight="1" thickBot="1">
      <c r="B108" s="1668" t="s">
        <v>331</v>
      </c>
      <c r="C108" s="1733"/>
      <c r="D108" s="1133" t="s">
        <v>332</v>
      </c>
      <c r="F108" s="1573"/>
      <c r="G108"/>
      <c r="H108"/>
      <c r="I108"/>
    </row>
    <row r="109" spans="2:16" ht="21" customHeight="1" thickBot="1">
      <c r="B109" s="1729" t="s">
        <v>333</v>
      </c>
      <c r="C109" s="1734"/>
      <c r="D109" s="1734"/>
      <c r="E109" s="1734"/>
      <c r="F109" s="1730"/>
      <c r="G109"/>
      <c r="H109"/>
      <c r="I109"/>
    </row>
    <row r="110" spans="2:16" ht="55.15">
      <c r="B110" s="1178" t="s">
        <v>144</v>
      </c>
      <c r="C110" s="1179" t="s">
        <v>334</v>
      </c>
      <c r="D110" s="1188" t="s">
        <v>335</v>
      </c>
      <c r="E110" s="1188" t="s">
        <v>336</v>
      </c>
      <c r="F110" s="1607" t="s">
        <v>337</v>
      </c>
      <c r="H110"/>
      <c r="I110"/>
    </row>
    <row r="111" spans="2:16">
      <c r="B111" s="832" t="s">
        <v>146</v>
      </c>
      <c r="C111" s="1604">
        <v>260487.89137096499</v>
      </c>
      <c r="D111" s="1605"/>
      <c r="E111" s="1604">
        <v>465.15480823868</v>
      </c>
      <c r="F111" s="1606">
        <v>1337818.5641105401</v>
      </c>
      <c r="G111" s="1471"/>
      <c r="H111"/>
    </row>
    <row r="112" spans="2:16">
      <c r="B112" s="419" t="s">
        <v>147</v>
      </c>
      <c r="C112" s="920"/>
      <c r="D112" s="920"/>
      <c r="E112" s="1087">
        <v>651.86211053499096</v>
      </c>
      <c r="F112" s="1602">
        <v>82649</v>
      </c>
      <c r="G112" s="1471"/>
      <c r="H112"/>
    </row>
    <row r="113" spans="2:9">
      <c r="B113" s="419" t="s">
        <v>148</v>
      </c>
      <c r="C113" s="1087">
        <v>4379315.40862903</v>
      </c>
      <c r="D113" s="1087">
        <v>200322.77</v>
      </c>
      <c r="E113" s="920"/>
      <c r="F113" s="1602">
        <v>21499857.435889501</v>
      </c>
      <c r="H113"/>
      <c r="I113"/>
    </row>
    <row r="114" spans="2:9">
      <c r="B114" s="419" t="s">
        <v>149</v>
      </c>
      <c r="C114" s="920"/>
      <c r="D114" s="920"/>
      <c r="E114" s="1087">
        <v>26622.440787351301</v>
      </c>
      <c r="F114" s="1602">
        <v>3375434.8858042601</v>
      </c>
      <c r="G114" s="1471"/>
      <c r="H114"/>
      <c r="I114"/>
    </row>
    <row r="115" spans="2:9">
      <c r="B115" s="419" t="s">
        <v>150</v>
      </c>
      <c r="C115" s="920"/>
      <c r="D115" s="920"/>
      <c r="E115" s="1575">
        <v>43279.492233575897</v>
      </c>
      <c r="F115" s="1576">
        <v>5487367.1836473504</v>
      </c>
      <c r="G115" s="1471"/>
      <c r="H115"/>
      <c r="I115"/>
    </row>
    <row r="116" spans="2:9">
      <c r="B116" s="419" t="s">
        <v>151</v>
      </c>
      <c r="C116" s="920"/>
      <c r="D116" s="920"/>
      <c r="E116" s="1577">
        <v>83027.344186943199</v>
      </c>
      <c r="F116" s="1576">
        <v>10526960.9305484</v>
      </c>
      <c r="G116" s="1471"/>
      <c r="H116"/>
      <c r="I116"/>
    </row>
    <row r="117" spans="2:9">
      <c r="B117" s="419" t="s">
        <v>152</v>
      </c>
      <c r="C117" s="920"/>
      <c r="D117" s="920"/>
      <c r="E117" s="1577">
        <v>38645.165542099799</v>
      </c>
      <c r="F117" s="1578">
        <v>4899785.1466894802</v>
      </c>
      <c r="G117" s="1471"/>
      <c r="H117"/>
      <c r="I117"/>
    </row>
    <row r="118" spans="2:9">
      <c r="B118" s="1132" t="s">
        <v>153</v>
      </c>
      <c r="C118" s="920"/>
      <c r="D118" s="920"/>
      <c r="E118" s="1579">
        <v>3017.02513125616</v>
      </c>
      <c r="F118" s="1580">
        <v>382525.85331051401</v>
      </c>
      <c r="G118" s="1471"/>
      <c r="H118"/>
      <c r="I118"/>
    </row>
    <row r="119" spans="2:9" ht="13.9" thickBot="1">
      <c r="B119" s="833" t="s">
        <v>154</v>
      </c>
      <c r="C119" s="1581">
        <v>13761972</v>
      </c>
      <c r="D119" s="1603"/>
      <c r="E119" s="1574"/>
      <c r="F119" s="1582">
        <v>23707249</v>
      </c>
      <c r="G119"/>
      <c r="H119"/>
      <c r="I119"/>
    </row>
    <row r="120" spans="2:9" ht="13.9" thickBot="1">
      <c r="B120" s="1601"/>
      <c r="C120"/>
      <c r="D120"/>
      <c r="E120"/>
      <c r="F120"/>
      <c r="G120"/>
      <c r="H120"/>
      <c r="I120"/>
    </row>
    <row r="121" spans="2:9" ht="36.75" customHeight="1" thickBot="1">
      <c r="B121" s="1671" t="s">
        <v>338</v>
      </c>
      <c r="C121" s="1672"/>
      <c r="D121" s="1672"/>
      <c r="E121" s="1670"/>
    </row>
    <row r="122" spans="2:9" ht="13.9" thickBot="1"/>
    <row r="123" spans="2:9" ht="108" customHeight="1" thickBot="1">
      <c r="B123" s="1668" t="s">
        <v>339</v>
      </c>
      <c r="C123" s="1669"/>
      <c r="D123" s="1673"/>
      <c r="E123" s="1143" t="s">
        <v>340</v>
      </c>
    </row>
    <row r="124" spans="2:9" ht="24" customHeight="1" thickBot="1">
      <c r="B124" s="1729" t="s">
        <v>341</v>
      </c>
      <c r="C124" s="1730"/>
    </row>
    <row r="125" spans="2:9" ht="27" thickBot="1">
      <c r="B125" s="62" t="s">
        <v>342</v>
      </c>
      <c r="C125" s="55" t="s">
        <v>343</v>
      </c>
    </row>
    <row r="126" spans="2:9">
      <c r="B126" s="1150" t="s">
        <v>344</v>
      </c>
      <c r="C126" s="1155">
        <v>410000</v>
      </c>
    </row>
    <row r="127" spans="2:9">
      <c r="B127" s="1151" t="s">
        <v>345</v>
      </c>
      <c r="C127" s="1156">
        <v>0</v>
      </c>
    </row>
    <row r="128" spans="2:9">
      <c r="B128" s="1152" t="s">
        <v>346</v>
      </c>
      <c r="C128" s="1157">
        <v>80000</v>
      </c>
    </row>
    <row r="129" spans="2:5">
      <c r="B129" s="1153" t="s">
        <v>347</v>
      </c>
      <c r="C129" s="1158">
        <v>2900000</v>
      </c>
    </row>
    <row r="130" spans="2:5" ht="13.9" thickBot="1">
      <c r="B130" s="1154" t="s">
        <v>348</v>
      </c>
      <c r="C130" s="1159">
        <v>20000</v>
      </c>
    </row>
    <row r="131" spans="2:5">
      <c r="B131" s="1524" t="s">
        <v>349</v>
      </c>
      <c r="C131" s="1540">
        <v>1380000</v>
      </c>
    </row>
    <row r="132" spans="2:5" ht="13.9" thickBot="1">
      <c r="B132" s="1154" t="s">
        <v>350</v>
      </c>
      <c r="C132" s="1159">
        <v>1500000</v>
      </c>
    </row>
    <row r="133" spans="2:5" ht="13.9" thickBot="1"/>
    <row r="134" spans="2:5" ht="265.14999999999998" customHeight="1" thickBot="1">
      <c r="B134" s="1668" t="s">
        <v>351</v>
      </c>
      <c r="C134" s="1669"/>
      <c r="D134" s="1673"/>
      <c r="E134" s="1143" t="s">
        <v>352</v>
      </c>
    </row>
    <row r="135" spans="2:5" ht="13.9" thickBot="1"/>
    <row r="136" spans="2:5" ht="24.75" customHeight="1" thickBot="1">
      <c r="B136" s="1729" t="s">
        <v>353</v>
      </c>
      <c r="C136" s="1730"/>
    </row>
    <row r="137" spans="2:5">
      <c r="B137" s="1178" t="s">
        <v>354</v>
      </c>
      <c r="C137" s="84" t="s">
        <v>355</v>
      </c>
      <c r="D137" s="30"/>
    </row>
    <row r="138" spans="2:5">
      <c r="B138" s="1559" t="s">
        <v>356</v>
      </c>
      <c r="C138" s="1556">
        <v>8.5000000000000006E-2</v>
      </c>
      <c r="D138" s="1521"/>
    </row>
    <row r="139" spans="2:5" ht="28.9" customHeight="1">
      <c r="B139" s="1559" t="s">
        <v>357</v>
      </c>
      <c r="C139" s="1557">
        <v>0.6</v>
      </c>
      <c r="D139" s="1521"/>
    </row>
    <row r="140" spans="2:5">
      <c r="B140" s="1559" t="s">
        <v>358</v>
      </c>
      <c r="C140" s="1557">
        <v>0.5</v>
      </c>
      <c r="D140" s="1521"/>
    </row>
    <row r="141" spans="2:5" ht="40.15" thickBot="1">
      <c r="B141" s="1560" t="s">
        <v>359</v>
      </c>
      <c r="C141" s="1561">
        <v>0.75</v>
      </c>
      <c r="D141" s="1521"/>
    </row>
    <row r="142" spans="2:5" ht="13.9" thickBot="1">
      <c r="D142" s="1521"/>
    </row>
    <row r="143" spans="2:5" ht="20.45" customHeight="1" thickBot="1">
      <c r="B143" s="1729" t="s">
        <v>360</v>
      </c>
      <c r="C143" s="1730"/>
      <c r="D143" s="1521"/>
    </row>
    <row r="144" spans="2:5">
      <c r="B144" s="1178" t="s">
        <v>354</v>
      </c>
      <c r="C144" s="84" t="s">
        <v>355</v>
      </c>
      <c r="D144" s="1521"/>
    </row>
    <row r="145" spans="2:4">
      <c r="B145" s="1559" t="s">
        <v>361</v>
      </c>
      <c r="C145" s="1556">
        <v>0.09</v>
      </c>
      <c r="D145" s="1521"/>
    </row>
    <row r="146" spans="2:4" ht="26.45">
      <c r="B146" s="1559" t="s">
        <v>362</v>
      </c>
      <c r="C146" s="1557">
        <v>0.6</v>
      </c>
      <c r="D146" s="1521"/>
    </row>
    <row r="147" spans="2:4" ht="13.9" thickBot="1">
      <c r="B147" s="1560" t="s">
        <v>363</v>
      </c>
      <c r="C147" s="1561">
        <v>0.03</v>
      </c>
      <c r="D147" s="1521"/>
    </row>
    <row r="148" spans="2:4" ht="13.9" thickBot="1">
      <c r="D148" s="1521"/>
    </row>
    <row r="149" spans="2:4" ht="19.149999999999999" customHeight="1" thickBot="1">
      <c r="B149" s="1727" t="s">
        <v>364</v>
      </c>
      <c r="C149" s="1728"/>
      <c r="D149" s="1521"/>
    </row>
    <row r="150" spans="2:4">
      <c r="B150" s="62" t="s">
        <v>354</v>
      </c>
      <c r="C150" s="88" t="s">
        <v>355</v>
      </c>
      <c r="D150" s="1521"/>
    </row>
    <row r="151" spans="2:4" ht="13.9" thickBot="1">
      <c r="B151" s="1560" t="s">
        <v>365</v>
      </c>
      <c r="C151" s="1562">
        <v>4</v>
      </c>
      <c r="D151" s="1521"/>
    </row>
    <row r="152" spans="2:4" ht="13.9" thickBot="1">
      <c r="D152" s="1521"/>
    </row>
    <row r="153" spans="2:4" ht="18" customHeight="1" thickBot="1">
      <c r="B153" s="1727" t="s">
        <v>366</v>
      </c>
      <c r="C153" s="1728"/>
      <c r="D153" s="1521"/>
    </row>
    <row r="154" spans="2:4">
      <c r="B154" s="1178" t="s">
        <v>354</v>
      </c>
      <c r="C154" s="84" t="s">
        <v>355</v>
      </c>
      <c r="D154" s="1521"/>
    </row>
    <row r="155" spans="2:4" ht="26.45">
      <c r="B155" s="1559" t="s">
        <v>367</v>
      </c>
      <c r="C155" s="1558">
        <v>0.16</v>
      </c>
      <c r="D155" s="1521"/>
    </row>
    <row r="156" spans="2:4" ht="26.45">
      <c r="B156" s="1559" t="s">
        <v>368</v>
      </c>
      <c r="C156" s="1558">
        <v>1.75</v>
      </c>
      <c r="D156" s="1521"/>
    </row>
    <row r="157" spans="2:4" ht="26.45">
      <c r="B157" s="1559" t="s">
        <v>369</v>
      </c>
      <c r="C157" s="1556">
        <v>5.0000000000000001E-3</v>
      </c>
      <c r="D157" s="1521"/>
    </row>
    <row r="158" spans="2:4">
      <c r="B158" s="1559" t="s">
        <v>370</v>
      </c>
      <c r="C158" s="1557">
        <v>34.4</v>
      </c>
      <c r="D158" s="1521"/>
    </row>
    <row r="159" spans="2:4" ht="13.9" thickBot="1">
      <c r="B159" s="1560" t="s">
        <v>371</v>
      </c>
      <c r="C159" s="1561">
        <v>0.4</v>
      </c>
      <c r="D159" s="1521"/>
    </row>
  </sheetData>
  <mergeCells count="87">
    <mergeCell ref="B46:D46"/>
    <mergeCell ref="B47:D47"/>
    <mergeCell ref="B17:D17"/>
    <mergeCell ref="B28:D28"/>
    <mergeCell ref="B41:D41"/>
    <mergeCell ref="B36:D36"/>
    <mergeCell ref="B37:D37"/>
    <mergeCell ref="B38:D38"/>
    <mergeCell ref="B39:D39"/>
    <mergeCell ref="B40:D40"/>
    <mergeCell ref="B31:D31"/>
    <mergeCell ref="B32:D32"/>
    <mergeCell ref="B33:D33"/>
    <mergeCell ref="B34:D34"/>
    <mergeCell ref="B35:D35"/>
    <mergeCell ref="B95:E95"/>
    <mergeCell ref="B42:D42"/>
    <mergeCell ref="B43:D43"/>
    <mergeCell ref="B48:D48"/>
    <mergeCell ref="B49:D49"/>
    <mergeCell ref="B50:D50"/>
    <mergeCell ref="B51:D51"/>
    <mergeCell ref="B52:D52"/>
    <mergeCell ref="B53:D53"/>
    <mergeCell ref="B54:D54"/>
    <mergeCell ref="B55:D55"/>
    <mergeCell ref="B56:D56"/>
    <mergeCell ref="B57:D57"/>
    <mergeCell ref="B58:D58"/>
    <mergeCell ref="B44:D44"/>
    <mergeCell ref="B45:D45"/>
    <mergeCell ref="B2:E2"/>
    <mergeCell ref="B4:E4"/>
    <mergeCell ref="B27:D27"/>
    <mergeCell ref="B29:D29"/>
    <mergeCell ref="B30:D30"/>
    <mergeCell ref="B24:D24"/>
    <mergeCell ref="B16:D16"/>
    <mergeCell ref="B8:E8"/>
    <mergeCell ref="B26:D26"/>
    <mergeCell ref="B25:E25"/>
    <mergeCell ref="B10:D10"/>
    <mergeCell ref="B11:F11"/>
    <mergeCell ref="E18:F19"/>
    <mergeCell ref="F26:G27"/>
    <mergeCell ref="B59:D59"/>
    <mergeCell ref="B60:D60"/>
    <mergeCell ref="B61:D61"/>
    <mergeCell ref="B62:D62"/>
    <mergeCell ref="B63:D63"/>
    <mergeCell ref="B64:D64"/>
    <mergeCell ref="B65:D65"/>
    <mergeCell ref="B66:D66"/>
    <mergeCell ref="B67:D67"/>
    <mergeCell ref="B68:D68"/>
    <mergeCell ref="B153:C153"/>
    <mergeCell ref="B143:C143"/>
    <mergeCell ref="B136:C136"/>
    <mergeCell ref="B69:D69"/>
    <mergeCell ref="C92:D92"/>
    <mergeCell ref="C93:D93"/>
    <mergeCell ref="B91:E91"/>
    <mergeCell ref="B88:E88"/>
    <mergeCell ref="B81:D81"/>
    <mergeCell ref="B82:F82"/>
    <mergeCell ref="B76:D76"/>
    <mergeCell ref="B77:C77"/>
    <mergeCell ref="B71:D71"/>
    <mergeCell ref="B72:C72"/>
    <mergeCell ref="B97:D97"/>
    <mergeCell ref="B90:D90"/>
    <mergeCell ref="F101:G101"/>
    <mergeCell ref="F100:G100"/>
    <mergeCell ref="F99:G99"/>
    <mergeCell ref="B98:G98"/>
    <mergeCell ref="B149:C149"/>
    <mergeCell ref="B134:D134"/>
    <mergeCell ref="B121:E121"/>
    <mergeCell ref="B124:C124"/>
    <mergeCell ref="B123:D123"/>
    <mergeCell ref="F106:G106"/>
    <mergeCell ref="F105:G105"/>
    <mergeCell ref="F104:G104"/>
    <mergeCell ref="F103:G103"/>
    <mergeCell ref="F102:G102"/>
    <mergeCell ref="B108:C108"/>
    <mergeCell ref="B109:F109"/>
  </mergeCells>
  <hyperlinks>
    <hyperlink ref="E16" r:id="rId1" xr:uid="{00000000-0004-0000-0200-000000000000}"/>
    <hyperlink ref="E24" r:id="rId2" xr:uid="{00000000-0004-0000-0200-000001000000}"/>
    <hyperlink ref="E90" r:id="rId3" xr:uid="{00000000-0004-0000-0200-000002000000}"/>
    <hyperlink ref="E123" r:id="rId4" location="-solid-waste-data-updates-" xr:uid="{00000000-0004-0000-0200-000003000000}"/>
    <hyperlink ref="B25:E25" location="'Emission Factors'!A50" display="Inputs for Emissions Factors - Table 6 and Table 9" xr:uid="{00000000-0004-0000-0200-000007000000}"/>
    <hyperlink ref="B91:E91" location="'Stationary Energy - Buildings'!A203" display="Inputs for Stationary Energy - Buildings - Table 7" xr:uid="{00000000-0004-0000-0200-000008000000}"/>
    <hyperlink ref="B98:D98" location="'Transportation - On Road'!A57" display="Inputs for Transportation - Onroad - Table 6" xr:uid="{00000000-0004-0000-0200-000009000000}"/>
    <hyperlink ref="B124:C124" location="'Waste-Solid Waste Disposal'!A23" display="Inputs for Waste - Solid Waste - Table 3" xr:uid="{00000000-0004-0000-0200-00000A000000}"/>
    <hyperlink ref="E10" r:id="rId5" xr:uid="{00000000-0004-0000-0200-00000E000000}"/>
    <hyperlink ref="B11:F11" location="'Emission Factors'!A1" display="Inputs for Emissions Factors - Table 1" xr:uid="{00000000-0004-0000-0200-00000F000000}"/>
    <hyperlink ref="E81" r:id="rId6" xr:uid="{00000000-0004-0000-0200-000010000000}"/>
    <hyperlink ref="B82:F82" location="'Emission Factors'!A128" display="Inputs for Emissions Factors - Table 12" xr:uid="{00000000-0004-0000-0200-000011000000}"/>
    <hyperlink ref="E76" r:id="rId7" display="IPCC Sixth Assessment GWP Values" xr:uid="{00000000-0004-0000-0200-000012000000}"/>
    <hyperlink ref="B77:C77" location="'Emission Factors'!A124" display="Inputs for Emissions Factors - Table 11" xr:uid="{00000000-0004-0000-0200-000013000000}"/>
    <hyperlink ref="E71" r:id="rId8" xr:uid="{31CA9E15-5571-4CDF-9DDB-40A1179F8AEB}"/>
    <hyperlink ref="B72:C72" location="'Emission Factors'!A55" display="Inputs for Emissions Factors - Table 7" xr:uid="{B4B54667-A6D9-41EF-B472-DBFFA9F817E1}"/>
    <hyperlink ref="E97" r:id="rId9" xr:uid="{F4A12BBA-64F4-4791-BE40-8EA9372F855F}"/>
    <hyperlink ref="F97" r:id="rId10" xr:uid="{9C09FDBD-5AFC-4223-8B95-D9294D7F4A32}"/>
    <hyperlink ref="E134" r:id="rId11" location="greenhouse-gas-baseline-&amp;-inventory-" display="MassDEP GHG Report" xr:uid="{00000000-0004-0000-0200-000005000000}"/>
    <hyperlink ref="F81" r:id="rId12" xr:uid="{C48CE4C2-73CC-4907-9E89-6F335925F433}"/>
    <hyperlink ref="B149:C149" location="'Waste-Wastewater'!B40" display="Inputs for Waste - Wastewater - Table 5" xr:uid="{BC260DC2-858F-4427-A656-8F60A8698EAD}"/>
    <hyperlink ref="B153:C153" location="'Waste-Wastewater'!B45" display="Inputs for Waste - Wastewater - Table 6" xr:uid="{2232D9E4-C08C-42F7-8D94-C767B43F21A6}"/>
    <hyperlink ref="D108" r:id="rId13" xr:uid="{B67E992B-4115-49B5-B251-961B6CA0551F}"/>
    <hyperlink ref="B109:F109" location="'Transportation - On Road'!B109" display="Inputs for Transportation - Onroad - Table 7" xr:uid="{79DBBD53-C2FB-43CF-849D-9FCB326D1899}"/>
    <hyperlink ref="B136:C136" location="'Waste-Wastewater'!B23" display="Inputs for Waste - Wastewater - Table 3" xr:uid="{0E8659EA-4EDF-40C0-9164-CD7F167EFDD0}"/>
    <hyperlink ref="B143:C143" location="'Waste-Wastewater'!B32" display="Inputs for Waste - Wastewater - Table 4" xr:uid="{2D1CBB4E-BD34-45BB-AFDD-E44079EC9DB5}"/>
  </hyperlinks>
  <pageMargins left="0.7" right="0.7" top="0.75" bottom="0.75" header="0.3" footer="0.3"/>
  <pageSetup orientation="portrait" verticalDpi="0"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X156"/>
  <sheetViews>
    <sheetView showGridLines="0" zoomScale="90" zoomScaleNormal="90" workbookViewId="0"/>
  </sheetViews>
  <sheetFormatPr defaultColWidth="9.140625" defaultRowHeight="13.15"/>
  <cols>
    <col min="1" max="1" width="2.7109375" style="21" customWidth="1"/>
    <col min="2" max="2" width="36.42578125" style="21" customWidth="1"/>
    <col min="3" max="3" width="37.5703125" style="21" customWidth="1"/>
    <col min="4" max="4" width="30" style="21" customWidth="1"/>
    <col min="5" max="7" width="20.7109375" style="21" customWidth="1"/>
    <col min="8" max="8" width="20.7109375" style="19" customWidth="1"/>
    <col min="9" max="9" width="34.42578125" style="19" customWidth="1"/>
    <col min="10" max="10" width="20.7109375" style="19" customWidth="1"/>
    <col min="11" max="13" width="12" style="19" customWidth="1"/>
    <col min="14" max="14" width="19" style="19" customWidth="1"/>
    <col min="15" max="15" width="11.7109375" style="19" customWidth="1"/>
    <col min="16" max="16" width="11.28515625" style="19" customWidth="1"/>
    <col min="17" max="17" width="13.42578125" style="19" customWidth="1"/>
    <col min="18" max="18" width="14.85546875" style="19" customWidth="1"/>
    <col min="19" max="20" width="10.5703125" style="19" customWidth="1"/>
    <col min="21" max="21" width="10.42578125" style="19" customWidth="1"/>
    <col min="22" max="22" width="9.28515625" style="19" bestFit="1" customWidth="1"/>
    <col min="23" max="23" width="17.7109375" style="19" customWidth="1"/>
    <col min="24" max="24" width="11.42578125" style="20" customWidth="1"/>
    <col min="25" max="25" width="9.28515625" style="21" bestFit="1" customWidth="1"/>
    <col min="26" max="26" width="18.7109375" style="21" customWidth="1"/>
    <col min="27" max="16384" width="9.140625" style="21"/>
  </cols>
  <sheetData>
    <row r="1" spans="1:24" ht="13.9" thickBot="1"/>
    <row r="2" spans="1:24" ht="24" customHeight="1" thickBot="1">
      <c r="A2" s="138"/>
      <c r="B2" s="1788" t="s">
        <v>372</v>
      </c>
      <c r="C2" s="1789"/>
      <c r="D2" s="1789"/>
      <c r="E2" s="1789"/>
      <c r="F2" s="1790"/>
      <c r="G2" s="139"/>
      <c r="H2" s="192"/>
      <c r="K2" s="139"/>
    </row>
    <row r="3" spans="1:24" ht="13.9">
      <c r="A3" s="138"/>
      <c r="B3" s="135" t="s">
        <v>373</v>
      </c>
      <c r="C3" s="1791" t="s">
        <v>374</v>
      </c>
      <c r="D3" s="1792"/>
      <c r="E3" s="1792"/>
      <c r="F3" s="1793"/>
      <c r="G3" s="140"/>
      <c r="H3" s="140"/>
      <c r="I3" s="140"/>
      <c r="J3" s="139"/>
      <c r="K3" s="139"/>
    </row>
    <row r="4" spans="1:24" ht="13.9">
      <c r="A4" s="138"/>
      <c r="B4" s="1057" t="s">
        <v>375</v>
      </c>
      <c r="C4" s="1794" t="s">
        <v>376</v>
      </c>
      <c r="D4" s="1795"/>
      <c r="E4" s="1795"/>
      <c r="F4" s="1796"/>
      <c r="G4" s="140"/>
      <c r="H4" s="140"/>
      <c r="I4" s="140"/>
      <c r="J4" s="139"/>
      <c r="K4" s="139"/>
    </row>
    <row r="5" spans="1:24" ht="14.25" customHeight="1" thickBot="1">
      <c r="A5" s="138"/>
      <c r="B5" s="1058" t="s">
        <v>9</v>
      </c>
      <c r="C5" s="1818">
        <f>Inputs!C14</f>
        <v>2022</v>
      </c>
      <c r="D5" s="1819"/>
      <c r="E5" s="1819"/>
      <c r="F5" s="1820"/>
      <c r="G5" s="140"/>
      <c r="H5" s="140"/>
      <c r="I5" s="140"/>
      <c r="J5" s="139"/>
      <c r="K5" s="139"/>
    </row>
    <row r="6" spans="1:24" ht="12" customHeight="1" thickBot="1">
      <c r="A6" s="138"/>
      <c r="B6" s="137"/>
      <c r="C6" s="141"/>
      <c r="D6" s="141"/>
      <c r="E6" s="141"/>
      <c r="F6" s="141"/>
      <c r="G6" s="140"/>
      <c r="H6" s="140"/>
      <c r="I6" s="140"/>
      <c r="J6" s="139"/>
      <c r="K6" s="139"/>
    </row>
    <row r="7" spans="1:24" ht="14.45" thickBot="1">
      <c r="A7" s="138"/>
      <c r="B7" s="1815" t="s">
        <v>377</v>
      </c>
      <c r="C7" s="1816"/>
      <c r="D7" s="1816"/>
      <c r="E7" s="1816"/>
      <c r="F7" s="1817"/>
      <c r="G7" s="140"/>
      <c r="H7" s="140"/>
      <c r="I7" s="140"/>
      <c r="J7" s="139"/>
      <c r="K7" s="139"/>
    </row>
    <row r="8" spans="1:24" ht="44.25" customHeight="1" thickBot="1">
      <c r="A8" s="138"/>
      <c r="B8" s="1807" t="s">
        <v>378</v>
      </c>
      <c r="C8" s="1808"/>
      <c r="D8" s="1808"/>
      <c r="E8" s="1808"/>
      <c r="F8" s="1809"/>
      <c r="G8" s="26"/>
      <c r="H8" s="26"/>
      <c r="I8" s="26"/>
      <c r="J8" s="139"/>
      <c r="K8" s="139"/>
    </row>
    <row r="9" spans="1:24" ht="14.45" thickBot="1">
      <c r="A9" s="138"/>
      <c r="B9" s="26"/>
      <c r="C9" s="26"/>
      <c r="D9" s="26"/>
      <c r="E9" s="26"/>
      <c r="F9" s="139"/>
      <c r="G9" s="26"/>
      <c r="H9" s="26"/>
      <c r="I9" s="26"/>
      <c r="J9" s="139"/>
      <c r="K9" s="139"/>
      <c r="N9" s="195"/>
    </row>
    <row r="10" spans="1:24" ht="15.75" customHeight="1" thickBot="1">
      <c r="A10" s="138"/>
      <c r="B10" s="1810" t="s">
        <v>379</v>
      </c>
      <c r="C10" s="1811"/>
      <c r="D10" s="1811"/>
      <c r="E10" s="1811"/>
      <c r="F10" s="1811"/>
      <c r="G10" s="1812"/>
      <c r="H10" s="142"/>
      <c r="I10" s="142"/>
      <c r="J10" s="142"/>
      <c r="K10" s="22"/>
      <c r="L10" s="22"/>
      <c r="N10" s="195"/>
      <c r="W10" s="20"/>
      <c r="X10" s="21"/>
    </row>
    <row r="11" spans="1:24" ht="27" thickBot="1">
      <c r="A11" s="138"/>
      <c r="B11" s="1813" t="s">
        <v>24</v>
      </c>
      <c r="C11" s="1814"/>
      <c r="D11" s="1460" t="s">
        <v>380</v>
      </c>
      <c r="E11" s="1460" t="s">
        <v>381</v>
      </c>
      <c r="F11" s="1460" t="s">
        <v>382</v>
      </c>
      <c r="G11" s="147" t="s">
        <v>383</v>
      </c>
      <c r="H11" s="142"/>
      <c r="I11" s="142"/>
      <c r="J11" s="22"/>
      <c r="K11" s="22"/>
      <c r="N11" s="195"/>
      <c r="V11" s="20"/>
      <c r="W11" s="21"/>
      <c r="X11" s="21"/>
    </row>
    <row r="12" spans="1:24" ht="13.9">
      <c r="A12" s="138"/>
      <c r="B12" s="1799" t="s">
        <v>384</v>
      </c>
      <c r="C12" s="1800"/>
      <c r="D12" s="1227">
        <f>SUM(D28:D30)</f>
        <v>0</v>
      </c>
      <c r="E12" s="1227">
        <f>SUM(E28:E30)</f>
        <v>0</v>
      </c>
      <c r="F12" s="1227">
        <f>SUM(F28:F30)</f>
        <v>0</v>
      </c>
      <c r="G12" s="1093">
        <f>SUM(G28:G30)</f>
        <v>0</v>
      </c>
      <c r="H12" s="142"/>
      <c r="I12" s="142"/>
      <c r="J12" s="22"/>
      <c r="K12" s="22"/>
      <c r="L12" s="194"/>
      <c r="N12" s="195"/>
      <c r="V12" s="20"/>
      <c r="W12" s="21"/>
      <c r="X12" s="21"/>
    </row>
    <row r="13" spans="1:24" ht="13.9">
      <c r="A13" s="138"/>
      <c r="B13" s="1801" t="s">
        <v>385</v>
      </c>
      <c r="C13" s="1802"/>
      <c r="D13" s="1062" t="e">
        <f>SUM(D31:D32)</f>
        <v>#DIV/0!</v>
      </c>
      <c r="E13" s="1062">
        <f>SUM(E31:E32)</f>
        <v>0</v>
      </c>
      <c r="F13" s="1062" t="e">
        <f>SUM(F31:F32)</f>
        <v>#DIV/0!</v>
      </c>
      <c r="G13" s="1288">
        <f>SUM(G31:G32)</f>
        <v>0</v>
      </c>
      <c r="H13" s="142"/>
      <c r="I13" s="142"/>
      <c r="J13" s="22"/>
      <c r="K13" s="22"/>
      <c r="L13" s="194"/>
      <c r="N13" s="195"/>
      <c r="V13" s="20"/>
      <c r="W13" s="21"/>
      <c r="X13" s="21"/>
    </row>
    <row r="14" spans="1:24" ht="13.9">
      <c r="A14" s="138"/>
      <c r="B14" s="1803" t="s">
        <v>386</v>
      </c>
      <c r="C14" s="1804"/>
      <c r="D14" s="1064">
        <f>SUM(D33:D36)</f>
        <v>1944.6756033754646</v>
      </c>
      <c r="E14" s="1064">
        <f>SUM(E33:E36)</f>
        <v>0</v>
      </c>
      <c r="F14" s="1064">
        <f>SUM(F33:F36)</f>
        <v>0</v>
      </c>
      <c r="G14" s="1289">
        <f>SUM(G33:G36)</f>
        <v>1944.6756033754646</v>
      </c>
      <c r="H14" s="142"/>
      <c r="I14" s="142"/>
      <c r="J14" s="22"/>
      <c r="K14" s="22"/>
      <c r="L14" s="194"/>
      <c r="N14" s="195"/>
      <c r="V14" s="20"/>
      <c r="W14" s="21"/>
      <c r="X14" s="21"/>
    </row>
    <row r="15" spans="1:24" ht="14.45" thickBot="1">
      <c r="A15" s="138"/>
      <c r="B15" s="1805" t="s">
        <v>387</v>
      </c>
      <c r="C15" s="1806"/>
      <c r="D15" s="1358" t="e">
        <f>SUM(D12:D14)</f>
        <v>#DIV/0!</v>
      </c>
      <c r="E15" s="1358">
        <f>SUM(E12:E14)</f>
        <v>0</v>
      </c>
      <c r="F15" s="1358" t="e">
        <f>SUM(F12:F14)</f>
        <v>#DIV/0!</v>
      </c>
      <c r="G15" s="1359">
        <f>SUM(G12:G14)</f>
        <v>1944.6756033754646</v>
      </c>
      <c r="H15" s="142"/>
      <c r="I15" s="142"/>
      <c r="J15" s="142"/>
      <c r="K15" s="22"/>
      <c r="L15" s="22"/>
      <c r="N15" s="195"/>
      <c r="O15" s="196"/>
      <c r="W15" s="20"/>
      <c r="X15" s="21"/>
    </row>
    <row r="16" spans="1:24" ht="14.45" thickBot="1">
      <c r="A16" s="138"/>
      <c r="B16" s="138"/>
      <c r="C16" s="145"/>
      <c r="D16" s="145"/>
      <c r="E16" s="145"/>
      <c r="F16" s="145"/>
      <c r="G16" s="142"/>
      <c r="H16" s="142"/>
      <c r="I16" s="142"/>
      <c r="J16" s="142"/>
      <c r="K16" s="22"/>
      <c r="L16" s="22"/>
      <c r="N16" s="195"/>
      <c r="W16" s="20"/>
      <c r="X16" s="21"/>
    </row>
    <row r="17" spans="1:24" ht="14.45" thickBot="1">
      <c r="A17" s="138"/>
      <c r="B17" s="1821" t="s">
        <v>388</v>
      </c>
      <c r="C17" s="1822"/>
      <c r="D17" s="1822"/>
      <c r="E17" s="1822"/>
      <c r="F17" s="1822"/>
      <c r="G17" s="1823"/>
      <c r="H17" s="142"/>
      <c r="I17" s="142"/>
      <c r="J17" s="142"/>
      <c r="K17" s="22"/>
      <c r="L17" s="22"/>
      <c r="N17" s="195"/>
      <c r="O17"/>
      <c r="P17"/>
      <c r="Q17"/>
      <c r="R17"/>
      <c r="S17"/>
      <c r="T17"/>
      <c r="W17" s="20"/>
      <c r="X17" s="21"/>
    </row>
    <row r="18" spans="1:24" ht="27" thickBot="1">
      <c r="A18" s="138"/>
      <c r="B18" s="1824" t="s">
        <v>24</v>
      </c>
      <c r="C18" s="1825"/>
      <c r="D18" s="1461" t="s">
        <v>380</v>
      </c>
      <c r="E18" s="1461" t="s">
        <v>389</v>
      </c>
      <c r="F18" s="1461" t="s">
        <v>390</v>
      </c>
      <c r="G18" s="1078" t="s">
        <v>391</v>
      </c>
      <c r="H18" s="142"/>
      <c r="I18" s="142"/>
      <c r="J18" s="142"/>
      <c r="K18" s="22"/>
      <c r="L18" s="22"/>
      <c r="N18" s="195"/>
      <c r="O18"/>
      <c r="P18"/>
      <c r="Q18"/>
      <c r="R18"/>
      <c r="S18"/>
      <c r="T18"/>
      <c r="W18" s="20"/>
      <c r="X18" s="21"/>
    </row>
    <row r="19" spans="1:24" ht="13.9">
      <c r="A19" s="138"/>
      <c r="B19" s="1799" t="s">
        <v>384</v>
      </c>
      <c r="C19" s="1800"/>
      <c r="D19" s="1227">
        <f>SUM(E19:G19)</f>
        <v>0</v>
      </c>
      <c r="E19" s="1227">
        <f>'Stationary Energy - Buildings'!J27+'Stationary Energy - Buildings'!H38+(((Inputs!D39*'Stationary Energy - Buildings'!D225)*'Emission Factors'!C26)+((Inputs!D39*'Stationary Energy - Buildings'!D225)*'Emission Factors'!C25)*'Emission Factors'!B125)</f>
        <v>0</v>
      </c>
      <c r="F19" s="1227">
        <f>'Stationary Energy - Buildings'!I30</f>
        <v>0</v>
      </c>
      <c r="G19" s="1093">
        <f>F19*'Stationary Energy - Buildings'!D219</f>
        <v>0</v>
      </c>
      <c r="H19" s="1493"/>
      <c r="I19" s="142"/>
      <c r="J19" s="142"/>
      <c r="K19" s="22"/>
      <c r="L19" s="22"/>
      <c r="N19" s="195"/>
      <c r="O19"/>
      <c r="P19"/>
      <c r="Q19"/>
      <c r="R19"/>
      <c r="S19"/>
      <c r="T19"/>
      <c r="W19" s="20"/>
      <c r="X19" s="21"/>
    </row>
    <row r="20" spans="1:24" ht="13.9">
      <c r="A20" s="138"/>
      <c r="B20" s="1801" t="s">
        <v>385</v>
      </c>
      <c r="C20" s="1802"/>
      <c r="D20" s="1062" t="e">
        <f>SUM(E20:G20)</f>
        <v>#DIV/0!</v>
      </c>
      <c r="E20" s="1062">
        <f>SUM('Transportation - On Road'!J71:J79)</f>
        <v>0</v>
      </c>
      <c r="F20" s="1062" t="e">
        <f>'Transportation - On Road'!J80</f>
        <v>#DIV/0!</v>
      </c>
      <c r="G20" s="1288">
        <f>'Transportation - On Road'!I123</f>
        <v>0</v>
      </c>
      <c r="H20" s="142"/>
      <c r="I20" s="142"/>
      <c r="J20" s="142"/>
      <c r="K20" s="22"/>
      <c r="L20" s="22"/>
      <c r="N20" s="195"/>
      <c r="O20"/>
      <c r="P20"/>
      <c r="Q20"/>
      <c r="R20"/>
      <c r="S20"/>
      <c r="T20"/>
      <c r="W20" s="20"/>
      <c r="X20" s="21"/>
    </row>
    <row r="21" spans="1:24" ht="14.45" thickBot="1">
      <c r="A21" s="138"/>
      <c r="B21" s="1805" t="s">
        <v>387</v>
      </c>
      <c r="C21" s="1806"/>
      <c r="D21" s="1358" t="e">
        <f>SUM(D19:D20)</f>
        <v>#DIV/0!</v>
      </c>
      <c r="E21" s="1358">
        <f>SUM(E19:E20)</f>
        <v>0</v>
      </c>
      <c r="F21" s="1358" t="e">
        <f>SUM(F19:F20)</f>
        <v>#DIV/0!</v>
      </c>
      <c r="G21" s="1359">
        <f>SUM(G19:G20)</f>
        <v>0</v>
      </c>
      <c r="H21" s="142"/>
      <c r="I21" s="142"/>
      <c r="J21" s="142"/>
      <c r="K21" s="22"/>
      <c r="L21" s="22"/>
      <c r="N21" s="195"/>
      <c r="O21"/>
      <c r="P21"/>
      <c r="Q21"/>
      <c r="R21"/>
      <c r="S21"/>
      <c r="T21"/>
      <c r="W21" s="20"/>
      <c r="X21" s="21"/>
    </row>
    <row r="22" spans="1:24" ht="13.9">
      <c r="A22" s="138"/>
      <c r="B22" s="21" t="s">
        <v>392</v>
      </c>
      <c r="C22" s="145"/>
      <c r="D22" s="145"/>
      <c r="E22" s="145"/>
      <c r="F22" s="145"/>
      <c r="G22" s="142"/>
      <c r="H22" s="142"/>
      <c r="I22" s="142"/>
      <c r="J22" s="142"/>
      <c r="K22" s="22"/>
      <c r="L22" s="22"/>
      <c r="N22" s="195"/>
      <c r="O22"/>
      <c r="P22"/>
      <c r="Q22"/>
      <c r="R22"/>
      <c r="S22"/>
      <c r="T22"/>
      <c r="W22" s="20"/>
      <c r="X22" s="21"/>
    </row>
    <row r="23" spans="1:24" ht="13.9">
      <c r="A23" s="138"/>
      <c r="B23" s="21" t="s">
        <v>393</v>
      </c>
      <c r="C23" s="145"/>
      <c r="D23" s="145"/>
      <c r="E23" s="145"/>
      <c r="F23" s="145"/>
      <c r="G23" s="142"/>
      <c r="H23" s="142"/>
      <c r="I23" s="142"/>
      <c r="J23" s="142"/>
      <c r="K23" s="22"/>
      <c r="L23" s="22"/>
      <c r="N23" s="195"/>
      <c r="O23"/>
      <c r="P23"/>
      <c r="Q23"/>
      <c r="R23"/>
      <c r="S23"/>
      <c r="T23"/>
      <c r="W23" s="20"/>
      <c r="X23" s="21"/>
    </row>
    <row r="24" spans="1:24" ht="13.9">
      <c r="A24" s="138"/>
      <c r="B24" s="21" t="s">
        <v>394</v>
      </c>
      <c r="C24" s="145"/>
      <c r="D24" s="145"/>
      <c r="E24" s="145"/>
      <c r="F24" s="145"/>
      <c r="G24" s="142"/>
      <c r="H24" s="142"/>
      <c r="I24" s="142"/>
      <c r="J24" s="142"/>
      <c r="K24" s="22"/>
      <c r="L24" s="22"/>
      <c r="N24" s="195"/>
      <c r="O24" s="21"/>
      <c r="P24" s="21"/>
      <c r="Q24" s="21"/>
      <c r="R24" s="21"/>
      <c r="S24" s="21"/>
      <c r="T24" s="21"/>
      <c r="W24" s="20"/>
      <c r="X24" s="21"/>
    </row>
    <row r="25" spans="1:24" ht="14.45" thickBot="1">
      <c r="A25" s="138"/>
      <c r="B25" s="138"/>
      <c r="C25" s="145"/>
      <c r="D25" s="145"/>
      <c r="E25" s="145"/>
      <c r="F25" s="145"/>
      <c r="G25" s="142"/>
      <c r="H25" s="142"/>
      <c r="I25" s="142"/>
      <c r="J25" s="142"/>
      <c r="K25" s="22"/>
      <c r="L25" s="22"/>
      <c r="N25" s="195"/>
      <c r="W25" s="20"/>
      <c r="X25" s="21"/>
    </row>
    <row r="26" spans="1:24" ht="14.45" thickBot="1">
      <c r="A26" s="138"/>
      <c r="B26" s="1761" t="s">
        <v>395</v>
      </c>
      <c r="C26" s="1797"/>
      <c r="D26" s="1797"/>
      <c r="E26" s="1797"/>
      <c r="F26" s="1797"/>
      <c r="G26" s="1798"/>
      <c r="H26" s="142"/>
      <c r="I26" s="142"/>
      <c r="J26" s="142"/>
      <c r="K26" s="22"/>
      <c r="L26" s="22"/>
      <c r="N26" s="195"/>
      <c r="W26" s="20"/>
      <c r="X26" s="21"/>
    </row>
    <row r="27" spans="1:24" ht="27" thickBot="1">
      <c r="A27" s="138"/>
      <c r="B27" s="1459" t="s">
        <v>24</v>
      </c>
      <c r="C27" s="146" t="s">
        <v>396</v>
      </c>
      <c r="D27" s="1460" t="s">
        <v>380</v>
      </c>
      <c r="E27" s="1460" t="s">
        <v>381</v>
      </c>
      <c r="F27" s="1460" t="s">
        <v>382</v>
      </c>
      <c r="G27" s="147" t="s">
        <v>383</v>
      </c>
      <c r="H27" s="142"/>
      <c r="I27" s="142"/>
      <c r="J27" s="142"/>
      <c r="K27" s="22"/>
      <c r="L27" s="22"/>
      <c r="N27" s="194"/>
      <c r="W27" s="20"/>
      <c r="X27" s="21"/>
    </row>
    <row r="28" spans="1:24" ht="13.9">
      <c r="A28" s="138"/>
      <c r="B28" s="1834" t="s">
        <v>384</v>
      </c>
      <c r="C28" s="148" t="s">
        <v>397</v>
      </c>
      <c r="D28" s="149">
        <f>SUM(F41:F45)</f>
        <v>0</v>
      </c>
      <c r="E28" s="150">
        <f>SUMIF(E41:E45,1,F41:F45)</f>
        <v>0</v>
      </c>
      <c r="F28" s="150">
        <f>SUMIF(E41:E45,2,F41:F45)</f>
        <v>0</v>
      </c>
      <c r="G28" s="151">
        <f>SUMIF(E41:E45,3,F41:F45)</f>
        <v>0</v>
      </c>
      <c r="H28" s="22"/>
      <c r="T28" s="20"/>
      <c r="U28" s="21"/>
      <c r="V28" s="21"/>
      <c r="W28" s="21"/>
      <c r="X28" s="21"/>
    </row>
    <row r="29" spans="1:24" ht="13.9">
      <c r="A29" s="138"/>
      <c r="B29" s="1835"/>
      <c r="C29" s="152" t="s">
        <v>398</v>
      </c>
      <c r="D29" s="153">
        <f>SUM(F46:F51)</f>
        <v>0</v>
      </c>
      <c r="E29" s="154">
        <f>SUMIF(E46:E51,1,F46:F51)</f>
        <v>0</v>
      </c>
      <c r="F29" s="154">
        <f>SUMIF(E46:E51,2,F46:F51)</f>
        <v>0</v>
      </c>
      <c r="G29" s="155">
        <f>SUMIF(E46:E51,3,F46:F51)</f>
        <v>0</v>
      </c>
      <c r="H29" s="22"/>
      <c r="T29" s="20"/>
      <c r="U29" s="21"/>
      <c r="V29" s="21"/>
      <c r="W29" s="21"/>
      <c r="X29" s="21"/>
    </row>
    <row r="30" spans="1:24" ht="13.9">
      <c r="A30" s="138"/>
      <c r="B30" s="1835"/>
      <c r="C30" s="152" t="s">
        <v>115</v>
      </c>
      <c r="D30" s="153">
        <f>SUM(F52:F52)</f>
        <v>0</v>
      </c>
      <c r="E30" s="154">
        <f>SUMIF(E52:E52,1,F52:F52)</f>
        <v>0</v>
      </c>
      <c r="F30" s="154">
        <f>SUMIF(E52:E52,2,F52:F52)</f>
        <v>0</v>
      </c>
      <c r="G30" s="155">
        <f>SUMIF(E52:E52,3,F52:F52)</f>
        <v>0</v>
      </c>
      <c r="H30" s="22"/>
      <c r="T30" s="20"/>
      <c r="U30" s="21"/>
      <c r="V30" s="21"/>
      <c r="W30" s="21"/>
      <c r="X30" s="21"/>
    </row>
    <row r="31" spans="1:24" ht="13.9">
      <c r="A31" s="138"/>
      <c r="B31" s="1836" t="s">
        <v>385</v>
      </c>
      <c r="C31" s="156" t="s">
        <v>399</v>
      </c>
      <c r="D31" s="157" t="e">
        <f>SUM(F53:F57)</f>
        <v>#DIV/0!</v>
      </c>
      <c r="E31" s="157">
        <f>SUMIF(E53:E57,1,F53:F57)</f>
        <v>0</v>
      </c>
      <c r="F31" s="157" t="e">
        <f>SUMIF(E53:E57,2,F53:F57)</f>
        <v>#DIV/0!</v>
      </c>
      <c r="G31" s="158">
        <f>SUMIF(E53:E57,3,F53:F57)</f>
        <v>0</v>
      </c>
      <c r="H31" s="22"/>
      <c r="I31" s="21"/>
      <c r="J31" s="21"/>
      <c r="K31" s="21"/>
      <c r="T31" s="20"/>
      <c r="U31" s="21"/>
      <c r="V31" s="21"/>
      <c r="W31" s="21"/>
      <c r="X31" s="21"/>
    </row>
    <row r="32" spans="1:24" ht="13.9">
      <c r="A32" s="138"/>
      <c r="B32" s="1837"/>
      <c r="C32" s="159" t="s">
        <v>400</v>
      </c>
      <c r="D32" s="160">
        <f>SUM(F58:F60)</f>
        <v>0</v>
      </c>
      <c r="E32" s="160">
        <f>SUMIF(E58:E60,1,F58:F60)</f>
        <v>0</v>
      </c>
      <c r="F32" s="160">
        <f>SUMIF(E58:E60,2,F58:F60)</f>
        <v>0</v>
      </c>
      <c r="G32" s="161">
        <f>SUMIF(E58:E60,3,F58:F60)</f>
        <v>0</v>
      </c>
      <c r="H32" s="22"/>
      <c r="I32" s="21"/>
      <c r="J32" s="21"/>
      <c r="K32" s="21"/>
      <c r="T32" s="20"/>
      <c r="U32" s="21"/>
      <c r="V32" s="21"/>
      <c r="W32" s="21"/>
      <c r="X32" s="21"/>
    </row>
    <row r="33" spans="1:24" ht="13.9">
      <c r="A33" s="138"/>
      <c r="B33" s="1838" t="s">
        <v>386</v>
      </c>
      <c r="C33" s="162" t="s">
        <v>401</v>
      </c>
      <c r="D33" s="163">
        <f>SUM(F61)</f>
        <v>818.6264603400748</v>
      </c>
      <c r="E33" s="163">
        <f>SUMIF(E61,1,F61)</f>
        <v>0</v>
      </c>
      <c r="F33" s="163">
        <f>SUMIF(E61,2,F61)</f>
        <v>0</v>
      </c>
      <c r="G33" s="164">
        <f>SUMIF(E61,3,F61)</f>
        <v>818.6264603400748</v>
      </c>
      <c r="H33" s="22"/>
      <c r="I33" s="21"/>
      <c r="J33" s="21"/>
      <c r="K33" s="21"/>
      <c r="T33" s="20"/>
      <c r="U33" s="21"/>
      <c r="V33" s="21"/>
      <c r="W33" s="21"/>
      <c r="X33" s="21"/>
    </row>
    <row r="34" spans="1:24" ht="13.9">
      <c r="A34" s="138"/>
      <c r="B34" s="1839"/>
      <c r="C34" s="987" t="s">
        <v>402</v>
      </c>
      <c r="D34" s="988">
        <f>F62</f>
        <v>0</v>
      </c>
      <c r="E34" s="988">
        <v>0</v>
      </c>
      <c r="F34" s="988">
        <v>0</v>
      </c>
      <c r="G34" s="989">
        <f>F62</f>
        <v>0</v>
      </c>
      <c r="H34" s="22"/>
      <c r="I34" s="21"/>
      <c r="J34" s="21"/>
      <c r="K34" s="21"/>
      <c r="T34" s="20"/>
      <c r="U34" s="21"/>
      <c r="V34" s="21"/>
      <c r="W34" s="21"/>
      <c r="X34" s="21"/>
    </row>
    <row r="35" spans="1:24" ht="13.9">
      <c r="A35" s="138"/>
      <c r="B35" s="1840"/>
      <c r="C35" s="165" t="s">
        <v>403</v>
      </c>
      <c r="D35" s="166">
        <f>SUM(F63)</f>
        <v>721.4959030353898</v>
      </c>
      <c r="E35" s="166">
        <f>SUMIF(E63,1,F63)</f>
        <v>0</v>
      </c>
      <c r="F35" s="166">
        <f>SUMIF(E63,2,F63)</f>
        <v>0</v>
      </c>
      <c r="G35" s="167">
        <f>SUMIF(E63,3,F63)</f>
        <v>721.4959030353898</v>
      </c>
      <c r="H35" s="22"/>
      <c r="I35" s="21"/>
      <c r="J35" s="21"/>
      <c r="K35" s="21"/>
      <c r="T35" s="20"/>
      <c r="U35" s="21"/>
      <c r="V35" s="21"/>
      <c r="W35" s="21"/>
      <c r="X35" s="21"/>
    </row>
    <row r="36" spans="1:24" ht="13.9">
      <c r="A36" s="138"/>
      <c r="B36" s="1841"/>
      <c r="C36" s="168" t="s">
        <v>404</v>
      </c>
      <c r="D36" s="143">
        <f>SUM(F64)</f>
        <v>404.55323999999996</v>
      </c>
      <c r="E36" s="143">
        <f>SUMIF(E64,1,F64)</f>
        <v>0</v>
      </c>
      <c r="F36" s="143">
        <f>SUMIF(E64,2,F64)</f>
        <v>0</v>
      </c>
      <c r="G36" s="144">
        <f>SUMIF(E64,3,F64)</f>
        <v>404.55323999999996</v>
      </c>
      <c r="H36" s="22"/>
      <c r="I36" s="21"/>
      <c r="J36" s="21"/>
      <c r="K36" s="21"/>
      <c r="T36" s="20"/>
      <c r="U36" s="21"/>
      <c r="V36" s="21"/>
      <c r="W36" s="21"/>
      <c r="X36" s="21"/>
    </row>
    <row r="37" spans="1:24" ht="14.45" thickBot="1">
      <c r="A37" s="138"/>
      <c r="B37" s="1842" t="s">
        <v>405</v>
      </c>
      <c r="C37" s="1843"/>
      <c r="D37" s="1358" t="e">
        <f>SUM(D28:D36)</f>
        <v>#DIV/0!</v>
      </c>
      <c r="E37" s="1358">
        <f>SUM(E28:E36)</f>
        <v>0</v>
      </c>
      <c r="F37" s="1358" t="e">
        <f>SUM(F28:F36)</f>
        <v>#DIV/0!</v>
      </c>
      <c r="G37" s="1359">
        <f>SUM(G28:G36)</f>
        <v>1944.6756033754646</v>
      </c>
      <c r="H37" s="142"/>
      <c r="I37" s="21"/>
      <c r="J37" s="21"/>
      <c r="K37" s="21"/>
      <c r="L37" s="22"/>
      <c r="W37" s="20"/>
      <c r="X37" s="21"/>
    </row>
    <row r="38" spans="1:24" ht="14.45" thickBot="1">
      <c r="A38" s="138"/>
      <c r="B38" s="138"/>
      <c r="C38" s="145"/>
      <c r="D38" s="145"/>
      <c r="E38" s="145"/>
      <c r="F38" s="145"/>
      <c r="G38" s="142"/>
      <c r="H38" s="142"/>
      <c r="I38" s="142"/>
      <c r="J38" s="142"/>
      <c r="K38" s="22"/>
      <c r="L38" s="22"/>
      <c r="W38" s="20"/>
      <c r="X38" s="21"/>
    </row>
    <row r="39" spans="1:24" ht="14.45" thickBot="1">
      <c r="A39" s="138"/>
      <c r="B39" s="1761" t="s">
        <v>406</v>
      </c>
      <c r="C39" s="1717"/>
      <c r="D39" s="1717"/>
      <c r="E39" s="1717"/>
      <c r="F39" s="1670"/>
      <c r="G39" s="139"/>
      <c r="H39" s="139"/>
      <c r="U39" s="20"/>
      <c r="V39" s="21"/>
      <c r="W39" s="21"/>
      <c r="X39" s="21"/>
    </row>
    <row r="40" spans="1:24" ht="31.5" customHeight="1" thickBot="1">
      <c r="A40" s="138"/>
      <c r="B40" s="1459" t="s">
        <v>24</v>
      </c>
      <c r="C40" s="146" t="s">
        <v>396</v>
      </c>
      <c r="D40" s="146" t="s">
        <v>407</v>
      </c>
      <c r="E40" s="146" t="s">
        <v>408</v>
      </c>
      <c r="F40" s="147" t="s">
        <v>409</v>
      </c>
      <c r="G40" s="19"/>
      <c r="R40" s="20"/>
      <c r="S40" s="21"/>
      <c r="T40" s="21"/>
      <c r="U40" s="21"/>
      <c r="V40" s="21"/>
      <c r="W40" s="21"/>
      <c r="X40" s="21"/>
    </row>
    <row r="41" spans="1:24" ht="13.9">
      <c r="A41" s="138"/>
      <c r="B41" s="1766" t="s">
        <v>384</v>
      </c>
      <c r="C41" s="1762" t="s">
        <v>397</v>
      </c>
      <c r="D41" s="169" t="s">
        <v>410</v>
      </c>
      <c r="E41" s="169">
        <v>2</v>
      </c>
      <c r="F41" s="388">
        <f>'All Emissions - Summary'!I70</f>
        <v>0</v>
      </c>
      <c r="G41" s="19"/>
      <c r="R41" s="20"/>
      <c r="S41" s="21"/>
      <c r="T41" s="21"/>
      <c r="U41" s="21"/>
      <c r="V41" s="21"/>
      <c r="W41" s="21"/>
      <c r="X41" s="21"/>
    </row>
    <row r="42" spans="1:24" ht="13.9">
      <c r="A42" s="138"/>
      <c r="B42" s="1773"/>
      <c r="C42" s="1763"/>
      <c r="D42" s="172" t="s">
        <v>411</v>
      </c>
      <c r="E42" s="172">
        <v>3</v>
      </c>
      <c r="F42" s="389">
        <f>'All Emissions - Summary'!I71</f>
        <v>0</v>
      </c>
      <c r="G42" s="19"/>
      <c r="R42" s="20"/>
      <c r="S42" s="21"/>
      <c r="T42" s="21"/>
      <c r="U42" s="21"/>
      <c r="V42" s="21"/>
      <c r="W42" s="21"/>
      <c r="X42" s="21"/>
    </row>
    <row r="43" spans="1:24" ht="13.9">
      <c r="A43" s="138"/>
      <c r="B43" s="1773"/>
      <c r="C43" s="1763"/>
      <c r="D43" s="172" t="s">
        <v>412</v>
      </c>
      <c r="E43" s="172">
        <v>1</v>
      </c>
      <c r="F43" s="389">
        <f>'All Emissions - Summary'!I72</f>
        <v>0</v>
      </c>
      <c r="G43" s="19"/>
      <c r="R43" s="20"/>
      <c r="S43" s="21"/>
      <c r="T43" s="21"/>
      <c r="U43" s="21"/>
      <c r="V43" s="21"/>
      <c r="W43" s="21"/>
      <c r="X43" s="21"/>
    </row>
    <row r="44" spans="1:24" ht="13.9">
      <c r="A44" s="138"/>
      <c r="B44" s="1773"/>
      <c r="C44" s="1763"/>
      <c r="D44" s="172" t="s">
        <v>220</v>
      </c>
      <c r="E44" s="172">
        <v>1</v>
      </c>
      <c r="F44" s="389">
        <f>'All Emissions - Summary'!I73</f>
        <v>0</v>
      </c>
      <c r="G44" s="19"/>
      <c r="R44" s="20"/>
      <c r="S44" s="21"/>
      <c r="T44" s="21"/>
      <c r="U44" s="21"/>
      <c r="V44" s="21"/>
      <c r="W44" s="21"/>
      <c r="X44" s="21"/>
    </row>
    <row r="45" spans="1:24" ht="13.9">
      <c r="A45" s="138"/>
      <c r="B45" s="1773"/>
      <c r="C45" s="1763"/>
      <c r="D45" s="174" t="s">
        <v>413</v>
      </c>
      <c r="E45" s="174">
        <v>1</v>
      </c>
      <c r="F45" s="390">
        <f>'All Emissions - Summary'!I74</f>
        <v>0</v>
      </c>
      <c r="G45" s="19"/>
      <c r="R45" s="20"/>
      <c r="S45" s="21"/>
      <c r="T45" s="21"/>
      <c r="U45" s="21"/>
      <c r="V45" s="21"/>
      <c r="W45" s="21"/>
      <c r="X45" s="21"/>
    </row>
    <row r="46" spans="1:24" ht="13.9">
      <c r="A46" s="138"/>
      <c r="B46" s="1773"/>
      <c r="C46" s="1764" t="s">
        <v>414</v>
      </c>
      <c r="D46" s="176" t="s">
        <v>410</v>
      </c>
      <c r="E46" s="176">
        <v>2</v>
      </c>
      <c r="F46" s="391">
        <f>'All Emissions - Summary'!I75</f>
        <v>0</v>
      </c>
      <c r="G46" s="19"/>
      <c r="R46" s="20"/>
      <c r="S46" s="21"/>
      <c r="T46" s="21"/>
      <c r="U46" s="21"/>
      <c r="V46" s="21"/>
      <c r="W46" s="21"/>
      <c r="X46" s="21"/>
    </row>
    <row r="47" spans="1:24" ht="13.9">
      <c r="A47" s="138"/>
      <c r="B47" s="1773"/>
      <c r="C47" s="1763"/>
      <c r="D47" s="172" t="s">
        <v>411</v>
      </c>
      <c r="E47" s="172">
        <v>3</v>
      </c>
      <c r="F47" s="389">
        <f>'All Emissions - Summary'!I76</f>
        <v>0</v>
      </c>
      <c r="G47" s="19"/>
      <c r="R47" s="20"/>
      <c r="S47" s="21"/>
      <c r="T47" s="21"/>
      <c r="U47" s="21"/>
      <c r="V47" s="21"/>
      <c r="W47" s="21"/>
      <c r="X47" s="21"/>
    </row>
    <row r="48" spans="1:24" ht="13.9">
      <c r="A48" s="138"/>
      <c r="B48" s="1773"/>
      <c r="C48" s="1763"/>
      <c r="D48" s="172" t="s">
        <v>412</v>
      </c>
      <c r="E48" s="172">
        <v>1</v>
      </c>
      <c r="F48" s="389">
        <f>'All Emissions - Summary'!I77</f>
        <v>0</v>
      </c>
      <c r="G48" s="19"/>
      <c r="R48" s="20"/>
      <c r="S48" s="21"/>
      <c r="T48" s="21"/>
      <c r="U48" s="21"/>
      <c r="V48" s="21"/>
      <c r="W48" s="21"/>
      <c r="X48" s="21"/>
    </row>
    <row r="49" spans="1:24" ht="13.9">
      <c r="A49" s="138"/>
      <c r="B49" s="1773"/>
      <c r="C49" s="1763"/>
      <c r="D49" s="172" t="s">
        <v>220</v>
      </c>
      <c r="E49" s="172">
        <v>1</v>
      </c>
      <c r="F49" s="389">
        <f>'All Emissions - Summary'!I78</f>
        <v>0</v>
      </c>
      <c r="G49" s="19"/>
      <c r="R49" s="20"/>
      <c r="S49" s="21"/>
      <c r="T49" s="21"/>
      <c r="U49" s="21"/>
      <c r="V49" s="21"/>
      <c r="W49" s="21"/>
      <c r="X49" s="21"/>
    </row>
    <row r="50" spans="1:24" ht="13.9">
      <c r="A50" s="138"/>
      <c r="B50" s="1773"/>
      <c r="C50" s="1763"/>
      <c r="D50" s="172" t="s">
        <v>413</v>
      </c>
      <c r="E50" s="172">
        <v>1</v>
      </c>
      <c r="F50" s="389">
        <f>'All Emissions - Summary'!I79</f>
        <v>0</v>
      </c>
      <c r="G50" s="19"/>
      <c r="R50" s="20"/>
      <c r="S50" s="21"/>
      <c r="T50" s="21"/>
      <c r="U50" s="21"/>
      <c r="V50" s="21"/>
      <c r="W50" s="21"/>
      <c r="X50" s="21"/>
    </row>
    <row r="51" spans="1:24" ht="13.9">
      <c r="A51" s="138"/>
      <c r="B51" s="1773"/>
      <c r="C51" s="1765"/>
      <c r="D51" s="174" t="s">
        <v>415</v>
      </c>
      <c r="E51" s="174">
        <v>1</v>
      </c>
      <c r="F51" s="390">
        <f>'All Emissions - Summary'!I80</f>
        <v>0</v>
      </c>
      <c r="G51" s="19"/>
      <c r="R51" s="20"/>
      <c r="S51" s="21"/>
      <c r="T51" s="21"/>
      <c r="U51" s="21"/>
      <c r="V51" s="21"/>
      <c r="W51" s="21"/>
      <c r="X51" s="21"/>
    </row>
    <row r="52" spans="1:24" ht="14.45" thickBot="1">
      <c r="A52" s="138"/>
      <c r="B52" s="1773"/>
      <c r="C52" s="1360" t="s">
        <v>115</v>
      </c>
      <c r="D52" s="1360" t="s">
        <v>415</v>
      </c>
      <c r="E52" s="1360">
        <v>1</v>
      </c>
      <c r="F52" s="1361">
        <f>'All Emissions - Summary'!I81</f>
        <v>0</v>
      </c>
      <c r="G52" s="19"/>
      <c r="R52" s="20"/>
      <c r="S52" s="21"/>
      <c r="T52" s="21"/>
      <c r="U52" s="21"/>
      <c r="V52" s="21"/>
      <c r="W52" s="21"/>
      <c r="X52" s="21"/>
    </row>
    <row r="53" spans="1:24" ht="13.9">
      <c r="A53" s="138"/>
      <c r="B53" s="1772" t="s">
        <v>385</v>
      </c>
      <c r="C53" s="1769" t="s">
        <v>399</v>
      </c>
      <c r="D53" s="180" t="s">
        <v>416</v>
      </c>
      <c r="E53" s="180">
        <v>1</v>
      </c>
      <c r="F53" s="979">
        <f t="shared" ref="F53:F64" si="0">I82</f>
        <v>0</v>
      </c>
      <c r="G53" s="19"/>
      <c r="M53" s="20"/>
      <c r="N53" s="21"/>
      <c r="O53" s="21"/>
      <c r="P53" s="21"/>
      <c r="Q53" s="21"/>
      <c r="R53" s="21"/>
      <c r="S53" s="21"/>
      <c r="T53" s="21"/>
      <c r="U53" s="21"/>
      <c r="V53" s="21"/>
      <c r="W53" s="21"/>
      <c r="X53" s="21"/>
    </row>
    <row r="54" spans="1:24" ht="13.9">
      <c r="A54" s="138"/>
      <c r="B54" s="1773"/>
      <c r="C54" s="1770"/>
      <c r="D54" s="181" t="s">
        <v>291</v>
      </c>
      <c r="E54" s="181">
        <v>1</v>
      </c>
      <c r="F54" s="184">
        <f t="shared" si="0"/>
        <v>0</v>
      </c>
      <c r="G54" s="19"/>
      <c r="M54" s="20"/>
      <c r="N54" s="21"/>
      <c r="O54" s="21"/>
      <c r="P54" s="21"/>
      <c r="Q54" s="21"/>
      <c r="R54" s="21"/>
      <c r="S54" s="21"/>
      <c r="T54" s="21"/>
      <c r="U54" s="21"/>
      <c r="V54" s="21"/>
      <c r="W54" s="21"/>
      <c r="X54" s="21"/>
    </row>
    <row r="55" spans="1:24" ht="13.9">
      <c r="A55" s="138"/>
      <c r="B55" s="1773"/>
      <c r="C55" s="1770"/>
      <c r="D55" s="181" t="s">
        <v>410</v>
      </c>
      <c r="E55" s="181">
        <v>2</v>
      </c>
      <c r="F55" s="184" t="e">
        <f t="shared" si="0"/>
        <v>#DIV/0!</v>
      </c>
      <c r="G55" s="19"/>
      <c r="M55" s="20"/>
      <c r="N55" s="21"/>
      <c r="O55" s="21"/>
      <c r="P55" s="21"/>
      <c r="Q55" s="21"/>
      <c r="R55" s="21"/>
      <c r="S55" s="21"/>
      <c r="T55" s="21"/>
      <c r="U55" s="21"/>
      <c r="V55" s="21"/>
      <c r="W55" s="21"/>
      <c r="X55" s="21"/>
    </row>
    <row r="56" spans="1:24" ht="13.9">
      <c r="A56" s="138"/>
      <c r="B56" s="1773"/>
      <c r="C56" s="1770"/>
      <c r="D56" s="181" t="s">
        <v>411</v>
      </c>
      <c r="E56" s="181">
        <v>3</v>
      </c>
      <c r="F56" s="184">
        <f t="shared" si="0"/>
        <v>0</v>
      </c>
      <c r="G56" s="19"/>
      <c r="M56" s="20"/>
      <c r="N56" s="21"/>
      <c r="O56" s="21"/>
      <c r="P56" s="21"/>
      <c r="Q56" s="21"/>
      <c r="R56" s="21"/>
      <c r="S56" s="21"/>
      <c r="T56" s="21"/>
      <c r="U56" s="21"/>
      <c r="V56" s="21"/>
      <c r="W56" s="21"/>
      <c r="X56" s="21"/>
    </row>
    <row r="57" spans="1:24" ht="13.9">
      <c r="A57" s="138"/>
      <c r="B57" s="1773"/>
      <c r="C57" s="1765"/>
      <c r="D57" s="182" t="s">
        <v>293</v>
      </c>
      <c r="E57" s="182">
        <v>1</v>
      </c>
      <c r="F57" s="185">
        <f t="shared" si="0"/>
        <v>0</v>
      </c>
      <c r="G57" s="19"/>
      <c r="M57" s="20"/>
      <c r="N57" s="21"/>
      <c r="O57" s="21"/>
      <c r="P57" s="21"/>
      <c r="Q57" s="21"/>
      <c r="R57" s="21"/>
      <c r="S57" s="21"/>
      <c r="T57" s="21"/>
      <c r="U57" s="21"/>
      <c r="V57" s="21"/>
      <c r="W57" s="21"/>
      <c r="X57" s="21"/>
    </row>
    <row r="58" spans="1:24" ht="13.9">
      <c r="A58" s="138"/>
      <c r="B58" s="1773"/>
      <c r="C58" s="1771" t="s">
        <v>417</v>
      </c>
      <c r="D58" s="183" t="s">
        <v>291</v>
      </c>
      <c r="E58" s="183">
        <v>1</v>
      </c>
      <c r="F58" s="331">
        <f t="shared" si="0"/>
        <v>0</v>
      </c>
      <c r="G58" s="19"/>
      <c r="M58" s="20"/>
      <c r="N58" s="21"/>
      <c r="O58" s="21"/>
      <c r="P58" s="21"/>
      <c r="Q58" s="21"/>
      <c r="R58" s="21"/>
      <c r="S58" s="21"/>
      <c r="T58" s="21"/>
      <c r="U58" s="21"/>
      <c r="V58" s="21"/>
      <c r="W58" s="21"/>
      <c r="X58" s="21"/>
    </row>
    <row r="59" spans="1:24" ht="13.9">
      <c r="A59" s="138"/>
      <c r="B59" s="1773"/>
      <c r="C59" s="1770"/>
      <c r="D59" s="181" t="s">
        <v>410</v>
      </c>
      <c r="E59" s="181">
        <v>2</v>
      </c>
      <c r="F59" s="184">
        <f t="shared" si="0"/>
        <v>0</v>
      </c>
      <c r="G59" s="19"/>
      <c r="M59" s="20"/>
      <c r="N59" s="21"/>
      <c r="O59" s="21"/>
      <c r="P59" s="21"/>
      <c r="Q59" s="21"/>
      <c r="R59" s="21"/>
      <c r="S59" s="21"/>
      <c r="T59" s="21"/>
      <c r="U59" s="21"/>
      <c r="V59" s="21"/>
      <c r="W59" s="21"/>
      <c r="X59" s="21"/>
    </row>
    <row r="60" spans="1:24" ht="14.45" thickBot="1">
      <c r="A60" s="138"/>
      <c r="B60" s="1774"/>
      <c r="C60" s="1765"/>
      <c r="D60" s="332" t="s">
        <v>411</v>
      </c>
      <c r="E60" s="332">
        <v>3</v>
      </c>
      <c r="F60" s="333">
        <f t="shared" si="0"/>
        <v>0</v>
      </c>
      <c r="G60" s="19"/>
      <c r="M60" s="20"/>
      <c r="N60" s="21"/>
      <c r="O60" s="21"/>
      <c r="P60" s="21"/>
      <c r="Q60" s="21"/>
      <c r="R60" s="21"/>
      <c r="S60" s="21"/>
      <c r="T60" s="21"/>
      <c r="U60" s="21"/>
      <c r="V60" s="21"/>
      <c r="W60" s="21"/>
      <c r="X60" s="21"/>
    </row>
    <row r="61" spans="1:24" ht="13.9">
      <c r="A61" s="138"/>
      <c r="B61" s="1778" t="s">
        <v>386</v>
      </c>
      <c r="C61" s="186" t="s">
        <v>418</v>
      </c>
      <c r="D61" s="187" t="s">
        <v>419</v>
      </c>
      <c r="E61" s="187">
        <v>3</v>
      </c>
      <c r="F61" s="334">
        <f t="shared" si="0"/>
        <v>818.6264603400748</v>
      </c>
      <c r="G61" s="19"/>
      <c r="M61" s="20"/>
      <c r="N61" s="21"/>
      <c r="O61" s="21"/>
      <c r="P61" s="21"/>
      <c r="Q61" s="21"/>
      <c r="R61" s="21"/>
      <c r="S61" s="21"/>
      <c r="T61" s="21"/>
      <c r="U61" s="21"/>
      <c r="V61" s="21"/>
      <c r="W61" s="21"/>
      <c r="X61" s="21"/>
    </row>
    <row r="62" spans="1:24" ht="13.9">
      <c r="A62" s="138"/>
      <c r="B62" s="1779"/>
      <c r="C62" s="963" t="s">
        <v>402</v>
      </c>
      <c r="D62" s="964" t="s">
        <v>420</v>
      </c>
      <c r="E62" s="964">
        <v>3</v>
      </c>
      <c r="F62" s="983">
        <f t="shared" si="0"/>
        <v>0</v>
      </c>
      <c r="G62" s="19"/>
      <c r="M62" s="20"/>
      <c r="N62" s="21"/>
      <c r="O62" s="21"/>
      <c r="P62" s="21"/>
      <c r="Q62" s="21"/>
      <c r="R62" s="21"/>
      <c r="S62" s="21"/>
      <c r="T62" s="21"/>
      <c r="U62" s="21"/>
      <c r="V62" s="21"/>
      <c r="W62" s="21"/>
      <c r="X62" s="21"/>
    </row>
    <row r="63" spans="1:24" ht="13.9">
      <c r="A63" s="138"/>
      <c r="B63" s="1779"/>
      <c r="C63" s="977" t="s">
        <v>403</v>
      </c>
      <c r="D63" s="313" t="s">
        <v>161</v>
      </c>
      <c r="E63" s="313">
        <v>3</v>
      </c>
      <c r="F63" s="335">
        <f t="shared" si="0"/>
        <v>721.4959030353898</v>
      </c>
      <c r="G63" s="19"/>
      <c r="M63" s="20"/>
      <c r="N63" s="21"/>
      <c r="O63" s="21"/>
      <c r="P63" s="21"/>
      <c r="Q63" s="21"/>
      <c r="R63" s="21"/>
      <c r="S63" s="21"/>
      <c r="T63" s="21"/>
      <c r="U63" s="21"/>
      <c r="V63" s="21"/>
      <c r="W63" s="21"/>
      <c r="X63" s="21"/>
    </row>
    <row r="64" spans="1:24" ht="14.45" thickBot="1">
      <c r="A64" s="138"/>
      <c r="B64" s="1780"/>
      <c r="C64" s="1362" t="s">
        <v>404</v>
      </c>
      <c r="D64" s="1363" t="s">
        <v>421</v>
      </c>
      <c r="E64" s="1363">
        <v>3</v>
      </c>
      <c r="F64" s="1364">
        <f t="shared" si="0"/>
        <v>404.55323999999996</v>
      </c>
      <c r="G64" s="19"/>
      <c r="M64" s="20"/>
      <c r="N64" s="21"/>
      <c r="O64" s="21"/>
      <c r="P64" s="21"/>
      <c r="Q64" s="21"/>
      <c r="R64" s="21"/>
      <c r="S64" s="21"/>
      <c r="T64" s="21"/>
      <c r="U64" s="21"/>
      <c r="V64" s="21"/>
      <c r="W64" s="21"/>
      <c r="X64" s="21"/>
    </row>
    <row r="65" spans="1:24" ht="14.45" thickBot="1">
      <c r="A65" s="138"/>
      <c r="B65" s="1781" t="s">
        <v>422</v>
      </c>
      <c r="C65" s="1782"/>
      <c r="D65" s="1782"/>
      <c r="E65" s="1783"/>
      <c r="F65" s="394" t="e">
        <f>SUM(F41:F64)</f>
        <v>#DIV/0!</v>
      </c>
      <c r="G65" s="19"/>
      <c r="R65" s="20"/>
      <c r="S65" s="21"/>
      <c r="T65" s="21"/>
      <c r="U65" s="21"/>
      <c r="V65" s="21"/>
      <c r="W65" s="21"/>
      <c r="X65" s="21"/>
    </row>
    <row r="66" spans="1:24" ht="14.45" thickBot="1">
      <c r="A66" s="138"/>
      <c r="B66" s="138"/>
      <c r="D66" s="19"/>
      <c r="E66" s="19"/>
      <c r="F66" s="1054"/>
      <c r="G66" s="1054"/>
      <c r="H66" s="1054"/>
      <c r="N66" s="20"/>
      <c r="O66" s="21"/>
      <c r="W66" s="20"/>
      <c r="X66" s="21"/>
    </row>
    <row r="67" spans="1:24" ht="14.45" thickBot="1">
      <c r="A67" s="138"/>
      <c r="B67" s="1761" t="s">
        <v>423</v>
      </c>
      <c r="C67" s="1717"/>
      <c r="D67" s="1717"/>
      <c r="E67" s="1717"/>
      <c r="F67" s="1717"/>
      <c r="G67" s="1717"/>
      <c r="H67" s="1717"/>
      <c r="I67" s="1670"/>
      <c r="N67" s="20"/>
      <c r="O67" s="21"/>
      <c r="W67" s="20"/>
      <c r="X67" s="21"/>
    </row>
    <row r="68" spans="1:24" ht="13.9">
      <c r="A68" s="138"/>
      <c r="B68" s="1787" t="s">
        <v>24</v>
      </c>
      <c r="C68" s="1784" t="s">
        <v>396</v>
      </c>
      <c r="D68" s="1784" t="s">
        <v>407</v>
      </c>
      <c r="E68" s="1784" t="s">
        <v>408</v>
      </c>
      <c r="F68" s="1784" t="s">
        <v>424</v>
      </c>
      <c r="G68" s="1844" t="s">
        <v>425</v>
      </c>
      <c r="H68" s="1844" t="s">
        <v>426</v>
      </c>
      <c r="I68" s="1846" t="s">
        <v>427</v>
      </c>
      <c r="J68" s="138"/>
      <c r="K68" s="138"/>
      <c r="L68" s="21"/>
      <c r="W68" s="20"/>
      <c r="X68" s="21"/>
    </row>
    <row r="69" spans="1:24" ht="14.45" thickBot="1">
      <c r="A69" s="138"/>
      <c r="B69" s="1768"/>
      <c r="C69" s="1785"/>
      <c r="D69" s="1785"/>
      <c r="E69" s="1785"/>
      <c r="F69" s="1785"/>
      <c r="G69" s="1845"/>
      <c r="H69" s="1845"/>
      <c r="I69" s="1847"/>
      <c r="J69" s="138"/>
      <c r="K69" s="138"/>
      <c r="L69" s="21"/>
      <c r="W69" s="20"/>
      <c r="X69" s="21"/>
    </row>
    <row r="70" spans="1:24" ht="42" customHeight="1">
      <c r="A70" s="138"/>
      <c r="B70" s="1766" t="s">
        <v>384</v>
      </c>
      <c r="C70" s="1762" t="s">
        <v>397</v>
      </c>
      <c r="D70" s="169" t="s">
        <v>410</v>
      </c>
      <c r="E70" s="169">
        <v>2</v>
      </c>
      <c r="F70" s="980">
        <f>'Stationary Energy - Summary'!H17</f>
        <v>0</v>
      </c>
      <c r="G70" s="170">
        <f>'Stationary Energy - Summary'!I17</f>
        <v>0</v>
      </c>
      <c r="H70" s="170">
        <f>'Stationary Energy - Summary'!J17</f>
        <v>0</v>
      </c>
      <c r="I70" s="965">
        <f>(F70*'Emission Factors'!$B$125)+(G70)+(H70*'Emission Factors'!$C$125)</f>
        <v>0</v>
      </c>
      <c r="J70" s="138"/>
      <c r="K70" s="138"/>
      <c r="L70" s="21"/>
      <c r="W70" s="20"/>
      <c r="X70" s="21"/>
    </row>
    <row r="71" spans="1:24" ht="13.9">
      <c r="A71" s="138"/>
      <c r="B71" s="1767"/>
      <c r="C71" s="1763"/>
      <c r="D71" s="172" t="s">
        <v>411</v>
      </c>
      <c r="E71" s="172">
        <v>3</v>
      </c>
      <c r="F71" s="321">
        <f>'Stationary Energy - Summary'!L17</f>
        <v>0</v>
      </c>
      <c r="G71" s="173">
        <f>'Stationary Energy - Summary'!M17</f>
        <v>0</v>
      </c>
      <c r="H71" s="173">
        <f>'Stationary Energy - Summary'!N17</f>
        <v>0</v>
      </c>
      <c r="I71" s="966">
        <f>(F71*'Emission Factors'!$B$125)+(G71)+(H71*'Emission Factors'!$C$125)</f>
        <v>0</v>
      </c>
      <c r="J71" s="1003"/>
      <c r="K71" s="138"/>
      <c r="L71" s="21"/>
      <c r="W71" s="20"/>
      <c r="X71" s="21"/>
    </row>
    <row r="72" spans="1:24" ht="13.9">
      <c r="A72" s="138"/>
      <c r="B72" s="1767"/>
      <c r="C72" s="1763"/>
      <c r="D72" s="172" t="s">
        <v>412</v>
      </c>
      <c r="E72" s="172">
        <v>1</v>
      </c>
      <c r="F72" s="321">
        <f>'Stationary Energy - Summary'!P17</f>
        <v>0</v>
      </c>
      <c r="G72" s="173">
        <f>'Stationary Energy - Summary'!Q17</f>
        <v>0</v>
      </c>
      <c r="H72" s="321">
        <f>'Stationary Energy - Summary'!R17</f>
        <v>0</v>
      </c>
      <c r="I72" s="966">
        <f>(F72*'Emission Factors'!$B$125)+(G72)+(H72*'Emission Factors'!$C$125)</f>
        <v>0</v>
      </c>
      <c r="J72" s="138"/>
      <c r="K72" s="138"/>
      <c r="L72" s="21"/>
      <c r="W72" s="20"/>
      <c r="X72" s="21"/>
    </row>
    <row r="73" spans="1:24" ht="13.9">
      <c r="A73" s="138"/>
      <c r="B73" s="1767"/>
      <c r="C73" s="1763"/>
      <c r="D73" s="172" t="s">
        <v>220</v>
      </c>
      <c r="E73" s="172">
        <v>1</v>
      </c>
      <c r="F73" s="1004"/>
      <c r="G73" s="173">
        <f>'Stationary Energy - Summary'!F17-'Stationary Energy - Summary'!F14</f>
        <v>0</v>
      </c>
      <c r="H73" s="1004"/>
      <c r="I73" s="966">
        <f>(F73*'Emission Factors'!$B$125)+(G73)+(H73*'Emission Factors'!$C$125)</f>
        <v>0</v>
      </c>
      <c r="J73" s="138"/>
      <c r="K73" s="138"/>
      <c r="L73" s="21"/>
      <c r="W73" s="20"/>
      <c r="X73" s="21"/>
    </row>
    <row r="74" spans="1:24" ht="13.9">
      <c r="A74" s="138"/>
      <c r="B74" s="1767"/>
      <c r="C74" s="1763"/>
      <c r="D74" s="174" t="s">
        <v>413</v>
      </c>
      <c r="E74" s="174">
        <v>1</v>
      </c>
      <c r="F74" s="175">
        <f>'Stationary Energy - Summary'!E17</f>
        <v>0</v>
      </c>
      <c r="G74" s="175">
        <f>'Stationary Energy - Summary'!F14</f>
        <v>0</v>
      </c>
      <c r="H74" s="1007"/>
      <c r="I74" s="967">
        <f>(F74*'Emission Factors'!$B$125)+(G74)+(H74*'Emission Factors'!$C$125)</f>
        <v>0</v>
      </c>
      <c r="J74" s="138"/>
      <c r="K74" s="138"/>
      <c r="L74" s="21"/>
      <c r="W74" s="20"/>
      <c r="X74" s="21"/>
    </row>
    <row r="75" spans="1:24" ht="13.9">
      <c r="A75" s="138"/>
      <c r="B75" s="1767"/>
      <c r="C75" s="1764" t="s">
        <v>414</v>
      </c>
      <c r="D75" s="176" t="s">
        <v>410</v>
      </c>
      <c r="E75" s="176">
        <v>2</v>
      </c>
      <c r="F75" s="177">
        <f>'Stationary Energy - Summary'!H25</f>
        <v>0</v>
      </c>
      <c r="G75" s="177">
        <f>'Stationary Energy - Summary'!I25</f>
        <v>0</v>
      </c>
      <c r="H75" s="177">
        <f>'Stationary Energy - Summary'!J25</f>
        <v>0</v>
      </c>
      <c r="I75" s="968">
        <f>(F75*'Emission Factors'!$B$125)+(G75)+(H75*'Emission Factors'!$C$125)</f>
        <v>0</v>
      </c>
      <c r="J75" s="138"/>
      <c r="K75" s="138"/>
      <c r="L75" s="21"/>
      <c r="W75" s="20"/>
      <c r="X75" s="21"/>
    </row>
    <row r="76" spans="1:24" ht="13.9">
      <c r="A76" s="138"/>
      <c r="B76" s="1767"/>
      <c r="C76" s="1763"/>
      <c r="D76" s="172" t="s">
        <v>411</v>
      </c>
      <c r="E76" s="172">
        <v>3</v>
      </c>
      <c r="F76" s="173">
        <f>'Stationary Energy - Summary'!L25</f>
        <v>0</v>
      </c>
      <c r="G76" s="173">
        <f>'Stationary Energy - Summary'!M25</f>
        <v>0</v>
      </c>
      <c r="H76" s="173">
        <f>'Stationary Energy - Summary'!N25</f>
        <v>0</v>
      </c>
      <c r="I76" s="966">
        <f>(F76*'Emission Factors'!$B$125)+(G76)+(H76*'Emission Factors'!$C$125)</f>
        <v>0</v>
      </c>
      <c r="J76" s="138"/>
      <c r="K76" s="138"/>
      <c r="L76" s="21"/>
      <c r="W76" s="20"/>
      <c r="X76" s="21"/>
    </row>
    <row r="77" spans="1:24" ht="13.9">
      <c r="A77" s="138"/>
      <c r="B77" s="1767"/>
      <c r="C77" s="1763"/>
      <c r="D77" s="178" t="s">
        <v>412</v>
      </c>
      <c r="E77" s="178">
        <v>1</v>
      </c>
      <c r="F77" s="981">
        <f>'Stationary Energy - Summary'!P25</f>
        <v>0</v>
      </c>
      <c r="G77" s="179">
        <f>'Stationary Energy - Summary'!Q25</f>
        <v>0</v>
      </c>
      <c r="H77" s="982">
        <f>'Stationary Energy - Summary'!R25</f>
        <v>0</v>
      </c>
      <c r="I77" s="969">
        <f>(F77*'Emission Factors'!$B$125)+(G77)+(H77*'Emission Factors'!$C$125)</f>
        <v>0</v>
      </c>
      <c r="J77" s="138"/>
      <c r="K77" s="138"/>
      <c r="L77" s="21"/>
      <c r="W77" s="20"/>
      <c r="X77" s="21"/>
    </row>
    <row r="78" spans="1:24" ht="13.9">
      <c r="A78" s="138"/>
      <c r="B78" s="1767"/>
      <c r="C78" s="1763"/>
      <c r="D78" s="172" t="s">
        <v>220</v>
      </c>
      <c r="E78" s="172">
        <v>1</v>
      </c>
      <c r="F78" s="1004"/>
      <c r="G78" s="173">
        <f>'Stationary Energy - Summary'!F25-'Stationary Energy - Summary'!F21</f>
        <v>0</v>
      </c>
      <c r="H78" s="1004"/>
      <c r="I78" s="966">
        <f>(F78*'Emission Factors'!$B$125)+(G78)+(H78*'Emission Factors'!$C$125)</f>
        <v>0</v>
      </c>
      <c r="J78" s="138"/>
      <c r="K78" s="138"/>
      <c r="L78" s="21"/>
      <c r="W78" s="20"/>
      <c r="X78" s="21"/>
    </row>
    <row r="79" spans="1:24" ht="13.9">
      <c r="A79" s="138"/>
      <c r="B79" s="1767"/>
      <c r="C79" s="1763"/>
      <c r="D79" s="178" t="s">
        <v>413</v>
      </c>
      <c r="E79" s="178">
        <v>1</v>
      </c>
      <c r="F79" s="179">
        <f>'Stationary Energy - Summary'!E25</f>
        <v>0</v>
      </c>
      <c r="G79" s="179">
        <f>'Stationary Energy - Summary'!F21</f>
        <v>0</v>
      </c>
      <c r="H79" s="1004"/>
      <c r="I79" s="966">
        <f>(F79*'Emission Factors'!$B$125)+(G79)+(H79*'Emission Factors'!$C$125)</f>
        <v>0</v>
      </c>
      <c r="J79" s="138"/>
      <c r="K79" s="138"/>
      <c r="L79" s="21"/>
      <c r="W79" s="20"/>
      <c r="X79" s="21"/>
    </row>
    <row r="80" spans="1:24" ht="13.9">
      <c r="A80" s="138"/>
      <c r="B80" s="1767"/>
      <c r="C80" s="1765"/>
      <c r="D80" s="174" t="s">
        <v>415</v>
      </c>
      <c r="E80" s="174">
        <v>1</v>
      </c>
      <c r="F80" s="320">
        <f>'Stationary Energy - Summary'!S25</f>
        <v>0</v>
      </c>
      <c r="G80" s="175">
        <f>'Stationary Energy - Summary'!T25</f>
        <v>0</v>
      </c>
      <c r="H80" s="1004"/>
      <c r="I80" s="967">
        <f>(F80*'Emission Factors'!$B$125)+(G80)+(H80*'Emission Factors'!$C$125)</f>
        <v>0</v>
      </c>
      <c r="J80" s="138"/>
      <c r="K80" s="138"/>
      <c r="L80" s="21"/>
      <c r="W80" s="20"/>
      <c r="X80" s="21"/>
    </row>
    <row r="81" spans="1:24" ht="14.45" thickBot="1">
      <c r="A81" s="138"/>
      <c r="B81" s="1768"/>
      <c r="C81" s="1360" t="s">
        <v>115</v>
      </c>
      <c r="D81" s="960" t="s">
        <v>415</v>
      </c>
      <c r="E81" s="960">
        <v>1</v>
      </c>
      <c r="F81" s="961">
        <f>'Stationary Energy - Summary'!S27</f>
        <v>0</v>
      </c>
      <c r="G81" s="962">
        <f>'Stationary Energy - Summary'!T27</f>
        <v>0</v>
      </c>
      <c r="H81" s="1005"/>
      <c r="I81" s="970">
        <f>(F81*'Emission Factors'!$B$125)+(G81)+(H81*'Emission Factors'!$C$125)</f>
        <v>0</v>
      </c>
      <c r="J81" s="138"/>
      <c r="K81" s="138"/>
      <c r="L81" s="21"/>
      <c r="W81" s="20"/>
      <c r="X81" s="21"/>
    </row>
    <row r="82" spans="1:24" ht="13.9">
      <c r="A82" s="138"/>
      <c r="B82" s="1786" t="s">
        <v>385</v>
      </c>
      <c r="C82" s="1769" t="s">
        <v>399</v>
      </c>
      <c r="D82" s="180" t="s">
        <v>416</v>
      </c>
      <c r="E82" s="180">
        <v>1</v>
      </c>
      <c r="F82" s="1011"/>
      <c r="G82" s="314">
        <f>'Transportation - Summary'!I11</f>
        <v>0</v>
      </c>
      <c r="H82" s="1006"/>
      <c r="I82" s="971">
        <f>(F82*'Emission Factors'!$B$125)+(G82)+(H82*'Emission Factors'!$C$125)</f>
        <v>0</v>
      </c>
      <c r="J82" s="138"/>
      <c r="K82" s="138"/>
      <c r="L82" s="21"/>
      <c r="W82" s="20"/>
      <c r="X82" s="21"/>
    </row>
    <row r="83" spans="1:24" ht="13.9">
      <c r="A83" s="138"/>
      <c r="B83" s="1773"/>
      <c r="C83" s="1770"/>
      <c r="D83" s="181" t="s">
        <v>291</v>
      </c>
      <c r="E83" s="181">
        <v>1</v>
      </c>
      <c r="F83" s="322">
        <f>'Transportation - Summary'!H12</f>
        <v>0</v>
      </c>
      <c r="G83" s="315">
        <f>'Transportation - Summary'!I12</f>
        <v>0</v>
      </c>
      <c r="H83" s="322">
        <f>'Transportation - Summary'!J12</f>
        <v>0</v>
      </c>
      <c r="I83" s="971">
        <f>(F83*'Emission Factors'!$B$125)+(G83)+(H83*'Emission Factors'!$C$125)</f>
        <v>0</v>
      </c>
      <c r="J83" s="138"/>
      <c r="K83" s="138"/>
      <c r="L83" s="21"/>
      <c r="W83" s="20"/>
      <c r="X83" s="21"/>
    </row>
    <row r="84" spans="1:24" ht="13.9">
      <c r="A84" s="138"/>
      <c r="B84" s="1773"/>
      <c r="C84" s="1770"/>
      <c r="D84" s="181" t="s">
        <v>410</v>
      </c>
      <c r="E84" s="181">
        <v>2</v>
      </c>
      <c r="F84" s="323" t="e">
        <f>'Transportation - Summary'!H13</f>
        <v>#DIV/0!</v>
      </c>
      <c r="G84" s="315" t="e">
        <f>'Transportation - Summary'!I13</f>
        <v>#DIV/0!</v>
      </c>
      <c r="H84" s="323" t="e">
        <f>'Transportation - Summary'!J13</f>
        <v>#DIV/0!</v>
      </c>
      <c r="I84" s="971" t="e">
        <f>(F84*'Emission Factors'!$B$125)+(G84)+(H84*'Emission Factors'!$C$125)</f>
        <v>#DIV/0!</v>
      </c>
      <c r="J84" s="138"/>
      <c r="K84" s="138"/>
      <c r="L84" s="21"/>
      <c r="W84" s="20"/>
      <c r="X84" s="21"/>
    </row>
    <row r="85" spans="1:24" ht="13.9">
      <c r="A85" s="138"/>
      <c r="B85" s="1773"/>
      <c r="C85" s="1770"/>
      <c r="D85" s="181" t="s">
        <v>411</v>
      </c>
      <c r="E85" s="181">
        <v>3</v>
      </c>
      <c r="F85" s="324">
        <f>'Transportation - Summary'!H14</f>
        <v>0</v>
      </c>
      <c r="G85" s="315">
        <f>'Transportation - Summary'!I14</f>
        <v>0</v>
      </c>
      <c r="H85" s="324">
        <f>'Transportation - Summary'!J14</f>
        <v>0</v>
      </c>
      <c r="I85" s="971">
        <f>(F85*'Emission Factors'!$B$125)+(G85)+(H85*'Emission Factors'!$C$125)</f>
        <v>0</v>
      </c>
      <c r="J85" s="138"/>
      <c r="K85" s="138"/>
      <c r="L85" s="21"/>
      <c r="W85" s="20"/>
      <c r="X85" s="21"/>
    </row>
    <row r="86" spans="1:24" ht="13.9">
      <c r="A86" s="138"/>
      <c r="B86" s="1773"/>
      <c r="C86" s="1765"/>
      <c r="D86" s="182" t="s">
        <v>293</v>
      </c>
      <c r="E86" s="182">
        <v>1</v>
      </c>
      <c r="F86" s="325">
        <f>'Transportation - Summary'!H15</f>
        <v>0</v>
      </c>
      <c r="G86" s="316">
        <f>'Transportation - Summary'!I15</f>
        <v>0</v>
      </c>
      <c r="H86" s="325">
        <f>'Transportation - Summary'!J15</f>
        <v>0</v>
      </c>
      <c r="I86" s="972">
        <f>(F86*'Emission Factors'!$B$125)+(G86)+(H86*'Emission Factors'!$C$125)</f>
        <v>0</v>
      </c>
      <c r="J86" s="138"/>
      <c r="K86" s="138"/>
      <c r="L86" s="21"/>
      <c r="W86" s="20"/>
      <c r="X86" s="21"/>
    </row>
    <row r="87" spans="1:24" ht="13.9">
      <c r="A87" s="138"/>
      <c r="B87" s="1773"/>
      <c r="C87" s="1771" t="s">
        <v>417</v>
      </c>
      <c r="D87" s="183" t="s">
        <v>291</v>
      </c>
      <c r="E87" s="183">
        <v>1</v>
      </c>
      <c r="F87" s="326">
        <f>'Transportation - Summary'!H17</f>
        <v>0</v>
      </c>
      <c r="G87" s="326">
        <f>'Transportation - Summary'!I17</f>
        <v>0</v>
      </c>
      <c r="H87" s="326">
        <f>'Transportation - Summary'!J17</f>
        <v>0</v>
      </c>
      <c r="I87" s="971">
        <f>(F87*'Emission Factors'!$B$125)+(G87)+(H87*'Emission Factors'!$C$125)</f>
        <v>0</v>
      </c>
      <c r="J87" s="138"/>
      <c r="K87" s="138"/>
      <c r="L87" s="21"/>
      <c r="W87" s="20"/>
      <c r="X87" s="21"/>
    </row>
    <row r="88" spans="1:24" ht="13.9">
      <c r="A88" s="138"/>
      <c r="B88" s="1773"/>
      <c r="C88" s="1770"/>
      <c r="D88" s="181" t="s">
        <v>410</v>
      </c>
      <c r="E88" s="181">
        <v>2</v>
      </c>
      <c r="F88" s="322">
        <f>'Transportation - Summary'!H18</f>
        <v>0</v>
      </c>
      <c r="G88" s="315">
        <f>'Transportation - Summary'!I18</f>
        <v>0</v>
      </c>
      <c r="H88" s="322">
        <f>'Transportation - Summary'!J18</f>
        <v>0</v>
      </c>
      <c r="I88" s="973">
        <f>(F88*'Emission Factors'!$B$125)+(G88)+(H88*'Emission Factors'!$C$125)</f>
        <v>0</v>
      </c>
      <c r="J88" s="138"/>
      <c r="K88" s="138"/>
      <c r="L88" s="21"/>
      <c r="W88" s="20"/>
      <c r="X88" s="21"/>
    </row>
    <row r="89" spans="1:24" ht="14.45" thickBot="1">
      <c r="A89" s="138"/>
      <c r="B89" s="1774"/>
      <c r="C89" s="1765"/>
      <c r="D89" s="182" t="s">
        <v>411</v>
      </c>
      <c r="E89" s="182">
        <v>3</v>
      </c>
      <c r="F89" s="327">
        <f>'Transportation - Summary'!H19</f>
        <v>0</v>
      </c>
      <c r="G89" s="316">
        <f>'Transportation - Summary'!I19</f>
        <v>0</v>
      </c>
      <c r="H89" s="327">
        <f>'Transportation - Summary'!J19</f>
        <v>0</v>
      </c>
      <c r="I89" s="974">
        <f>(F89*'Emission Factors'!$B$125)+(G89)+(H89*'Emission Factors'!$C$125)</f>
        <v>0</v>
      </c>
      <c r="J89" s="138"/>
      <c r="K89" s="138"/>
      <c r="L89" s="21"/>
      <c r="W89" s="20"/>
      <c r="X89" s="21"/>
    </row>
    <row r="90" spans="1:24" ht="13.9">
      <c r="A90" s="138"/>
      <c r="B90" s="1778" t="s">
        <v>386</v>
      </c>
      <c r="C90" s="186" t="s">
        <v>418</v>
      </c>
      <c r="D90" s="187" t="s">
        <v>419</v>
      </c>
      <c r="E90" s="187">
        <v>3</v>
      </c>
      <c r="F90" s="317">
        <f>'Waste - Summary'!G11</f>
        <v>27.470686588593114</v>
      </c>
      <c r="G90" s="1008"/>
      <c r="H90" s="1009"/>
      <c r="I90" s="975">
        <f>(F90*'Emission Factors'!$B$125)+(G90)+(H90*'Emission Factors'!$C$125)</f>
        <v>818.6264603400748</v>
      </c>
      <c r="J90" s="138"/>
      <c r="K90" s="138"/>
      <c r="L90" s="21"/>
      <c r="W90" s="20"/>
      <c r="X90" s="21"/>
    </row>
    <row r="91" spans="1:24" ht="13.9">
      <c r="A91" s="138"/>
      <c r="B91" s="1779"/>
      <c r="C91" s="963" t="s">
        <v>402</v>
      </c>
      <c r="D91" s="313" t="s">
        <v>420</v>
      </c>
      <c r="E91" s="313">
        <v>3</v>
      </c>
      <c r="F91" s="318">
        <f>'Waste - Summary'!G12</f>
        <v>0</v>
      </c>
      <c r="G91" s="1010"/>
      <c r="H91" s="328">
        <f>'Waste - Summary'!I12</f>
        <v>0</v>
      </c>
      <c r="I91" s="976">
        <f>(F91*'Emission Factors'!$B$125)+(G91)+(H91*'Emission Factors'!$C$125)</f>
        <v>0</v>
      </c>
      <c r="J91" s="138"/>
      <c r="K91" s="138"/>
      <c r="L91" s="21"/>
      <c r="W91" s="20"/>
      <c r="X91" s="21"/>
    </row>
    <row r="92" spans="1:24" ht="13.9">
      <c r="A92" s="138"/>
      <c r="B92" s="1779"/>
      <c r="C92" s="977" t="s">
        <v>403</v>
      </c>
      <c r="D92" s="313" t="s">
        <v>161</v>
      </c>
      <c r="E92" s="313">
        <v>3</v>
      </c>
      <c r="F92" s="329">
        <f>'Waste - Summary'!G13</f>
        <v>3.7825083403830845E-3</v>
      </c>
      <c r="G92" s="318">
        <f>'Waste - Summary'!H13</f>
        <v>463.22699005570087</v>
      </c>
      <c r="H92" s="328">
        <f>'Waste - Summary'!I13</f>
        <v>0.94562708509577109</v>
      </c>
      <c r="I92" s="976">
        <f>(F92*'Emission Factors'!$B$125)+(G92)+(H92*'Emission Factors'!$C$125)</f>
        <v>721.4959030353898</v>
      </c>
      <c r="J92" s="138"/>
      <c r="K92" s="138"/>
      <c r="L92" s="21"/>
      <c r="W92" s="20"/>
      <c r="X92" s="21"/>
    </row>
    <row r="93" spans="1:24" ht="14.45" thickBot="1">
      <c r="A93" s="138"/>
      <c r="B93" s="1780"/>
      <c r="C93" s="1362" t="s">
        <v>404</v>
      </c>
      <c r="D93" s="1363" t="s">
        <v>421</v>
      </c>
      <c r="E93" s="1363">
        <v>3</v>
      </c>
      <c r="F93" s="1365">
        <f>'Waste - Summary'!G14</f>
        <v>0</v>
      </c>
      <c r="G93" s="1366"/>
      <c r="H93" s="1367">
        <f>'Waste - Summary'!I14</f>
        <v>1.4818799999999999</v>
      </c>
      <c r="I93" s="1368">
        <f>(F93*'Emission Factors'!$B$125)+(G93)+(H93*'Emission Factors'!$C$125)</f>
        <v>404.55323999999996</v>
      </c>
      <c r="J93" s="138"/>
      <c r="K93" s="138"/>
      <c r="L93" s="21"/>
      <c r="W93" s="20"/>
      <c r="X93" s="21"/>
    </row>
    <row r="94" spans="1:24" ht="14.45" thickBot="1">
      <c r="A94" s="138"/>
      <c r="B94" s="1781" t="s">
        <v>422</v>
      </c>
      <c r="C94" s="1782"/>
      <c r="D94" s="1782"/>
      <c r="E94" s="1783"/>
      <c r="F94" s="319" t="e">
        <f>SUM(F70:F93)</f>
        <v>#DIV/0!</v>
      </c>
      <c r="G94" s="319" t="e">
        <f>SUM(G70:G93)</f>
        <v>#DIV/0!</v>
      </c>
      <c r="H94" s="330" t="e">
        <f>SUM(H70:H93)</f>
        <v>#DIV/0!</v>
      </c>
      <c r="I94" s="978" t="e">
        <f>SUM(I70:I93)</f>
        <v>#DIV/0!</v>
      </c>
      <c r="J94" s="138"/>
      <c r="K94" s="138"/>
      <c r="L94" s="21"/>
      <c r="W94" s="20"/>
      <c r="X94" s="21"/>
    </row>
    <row r="95" spans="1:24" ht="14.45" thickBot="1">
      <c r="A95" s="138"/>
      <c r="B95" s="139"/>
      <c r="C95" s="139"/>
      <c r="D95" s="139"/>
      <c r="E95" s="139"/>
      <c r="F95" s="1051"/>
      <c r="G95" s="1051"/>
      <c r="H95" s="1052"/>
      <c r="I95" s="197"/>
      <c r="J95" s="138"/>
      <c r="K95" s="138"/>
      <c r="L95" s="21"/>
      <c r="W95" s="20"/>
      <c r="X95" s="21"/>
    </row>
    <row r="96" spans="1:24" ht="14.45" thickBot="1">
      <c r="A96" s="138"/>
      <c r="B96" s="1761" t="s">
        <v>428</v>
      </c>
      <c r="C96" s="1832"/>
      <c r="D96" s="1832"/>
      <c r="E96" s="1832"/>
      <c r="F96" s="1833"/>
      <c r="G96" s="138"/>
      <c r="H96" s="138"/>
      <c r="I96" s="138"/>
      <c r="J96" s="138"/>
      <c r="K96" s="138"/>
      <c r="L96" s="21"/>
      <c r="M96" s="21"/>
    </row>
    <row r="97" spans="1:24" ht="27" thickBot="1">
      <c r="A97" s="138"/>
      <c r="B97" s="1463" t="s">
        <v>396</v>
      </c>
      <c r="C97" s="339" t="s">
        <v>407</v>
      </c>
      <c r="D97" s="1462" t="s">
        <v>429</v>
      </c>
      <c r="E97" s="1462" t="s">
        <v>430</v>
      </c>
      <c r="F97" s="213" t="s">
        <v>431</v>
      </c>
      <c r="G97" s="138"/>
      <c r="H97" s="138"/>
      <c r="I97" s="138"/>
      <c r="J97" s="138"/>
      <c r="K97" s="138"/>
      <c r="L97" s="21"/>
      <c r="M97" s="21"/>
    </row>
    <row r="98" spans="1:24" ht="13.9">
      <c r="A98" s="138"/>
      <c r="B98" s="1829" t="s">
        <v>397</v>
      </c>
      <c r="C98" s="1012" t="s">
        <v>432</v>
      </c>
      <c r="D98" s="1013">
        <f>('Stationary Energy - Summary'!G17)*'Emission Factors'!D139</f>
        <v>0</v>
      </c>
      <c r="E98" s="1013">
        <f>'All Emissions - Summary'!I70</f>
        <v>0</v>
      </c>
      <c r="F98" s="1014" t="e">
        <f>E98/(SUM($E$98:$E$103))</f>
        <v>#DIV/0!</v>
      </c>
      <c r="G98" s="189"/>
      <c r="H98" s="139"/>
      <c r="I98" s="139"/>
      <c r="J98" s="139"/>
      <c r="K98" s="188"/>
      <c r="L98" s="21"/>
      <c r="M98" s="21"/>
    </row>
    <row r="99" spans="1:24" ht="13.9">
      <c r="A99" s="138"/>
      <c r="B99" s="1830"/>
      <c r="C99" s="1015" t="s">
        <v>433</v>
      </c>
      <c r="D99" s="1021">
        <f>('Stationary Energy - Summary'!D17-'Stationary Energy - Summary'!D14)*'Emission Factors'!D147</f>
        <v>0</v>
      </c>
      <c r="E99" s="1021">
        <f>'All Emissions - Summary'!I73</f>
        <v>0</v>
      </c>
      <c r="F99" s="1290" t="e">
        <f t="shared" ref="F99:F106" si="1">E99/(SUM($E$98:$E$103))</f>
        <v>#DIV/0!</v>
      </c>
      <c r="G99" s="190"/>
      <c r="H99" s="139"/>
      <c r="I99" s="139"/>
      <c r="J99" s="139"/>
      <c r="K99" s="188"/>
      <c r="L99" s="21"/>
      <c r="M99" s="21"/>
    </row>
    <row r="100" spans="1:24" ht="14.45" thickBot="1">
      <c r="A100" s="138"/>
      <c r="B100" s="1831"/>
      <c r="C100" s="1016" t="s">
        <v>434</v>
      </c>
      <c r="D100" s="1291">
        <f>'Stationary Energy - Summary'!O17*'Emission Factors'!D136</f>
        <v>0</v>
      </c>
      <c r="E100" s="1291">
        <f>'All Emissions - Summary'!I72</f>
        <v>0</v>
      </c>
      <c r="F100" s="1017" t="e">
        <f t="shared" si="1"/>
        <v>#DIV/0!</v>
      </c>
      <c r="G100" s="189"/>
      <c r="H100" s="139"/>
      <c r="I100" s="139"/>
      <c r="J100" s="139"/>
      <c r="K100" s="188"/>
      <c r="L100" s="21"/>
      <c r="M100" s="21"/>
    </row>
    <row r="101" spans="1:24" ht="13.9">
      <c r="A101" s="138"/>
      <c r="B101" s="1829" t="s">
        <v>435</v>
      </c>
      <c r="C101" s="1012" t="s">
        <v>436</v>
      </c>
      <c r="D101" s="1013">
        <f>('Stationary Energy - Summary'!G25+'Stationary Energy - Summary'!G27)*'Emission Factors'!D139</f>
        <v>0</v>
      </c>
      <c r="E101" s="1013">
        <f>'All Emissions - Summary'!I75</f>
        <v>0</v>
      </c>
      <c r="F101" s="1014" t="e">
        <f t="shared" si="1"/>
        <v>#DIV/0!</v>
      </c>
      <c r="G101" s="189"/>
      <c r="H101" s="139"/>
      <c r="I101" s="171"/>
      <c r="J101" s="171"/>
      <c r="K101" s="188"/>
      <c r="L101" s="21"/>
      <c r="M101" s="21"/>
    </row>
    <row r="102" spans="1:24" ht="13.9">
      <c r="A102" s="138"/>
      <c r="B102" s="1830"/>
      <c r="C102" s="1015" t="s">
        <v>437</v>
      </c>
      <c r="D102" s="1021">
        <f>('Stationary Energy - Summary'!D25-'Stationary Energy - Summary'!D21)*'Emission Factors'!D147</f>
        <v>0</v>
      </c>
      <c r="E102" s="1021">
        <f>'All Emissions - Summary'!I78</f>
        <v>0</v>
      </c>
      <c r="F102" s="1290" t="e">
        <f t="shared" si="1"/>
        <v>#DIV/0!</v>
      </c>
      <c r="G102" s="190"/>
      <c r="H102" s="139"/>
      <c r="I102" s="139"/>
      <c r="J102" s="139"/>
      <c r="K102" s="188"/>
      <c r="L102" s="21"/>
      <c r="M102" s="21"/>
    </row>
    <row r="103" spans="1:24" ht="35.25" customHeight="1" thickBot="1">
      <c r="A103" s="138"/>
      <c r="B103" s="1831"/>
      <c r="C103" s="1018" t="s">
        <v>438</v>
      </c>
      <c r="D103" s="1369">
        <f>('Stationary Energy - Summary'!O25)*'Emission Factors'!D136</f>
        <v>0</v>
      </c>
      <c r="E103" s="1369">
        <f>'All Emissions - Summary'!I77</f>
        <v>0</v>
      </c>
      <c r="F103" s="1370" t="e">
        <f t="shared" si="1"/>
        <v>#DIV/0!</v>
      </c>
      <c r="G103" s="189"/>
      <c r="H103" s="139"/>
      <c r="I103" s="139"/>
      <c r="J103" s="139"/>
      <c r="K103" s="188"/>
      <c r="L103" s="21"/>
      <c r="M103" s="21"/>
    </row>
    <row r="104" spans="1:24" ht="13.9">
      <c r="A104" s="138"/>
      <c r="B104" s="1829" t="s">
        <v>439</v>
      </c>
      <c r="C104" s="1019" t="s">
        <v>410</v>
      </c>
      <c r="D104" s="1013">
        <f t="shared" ref="D104:E106" si="2">SUM(D98,D101)</f>
        <v>0</v>
      </c>
      <c r="E104" s="1013">
        <f t="shared" si="2"/>
        <v>0</v>
      </c>
      <c r="F104" s="1014" t="e">
        <f t="shared" si="1"/>
        <v>#DIV/0!</v>
      </c>
      <c r="G104" s="189"/>
      <c r="H104" s="139"/>
      <c r="I104" s="139"/>
      <c r="J104" s="139"/>
      <c r="K104" s="188"/>
      <c r="L104" s="21"/>
      <c r="M104" s="21"/>
    </row>
    <row r="105" spans="1:24" ht="13.9">
      <c r="A105" s="138"/>
      <c r="B105" s="1830"/>
      <c r="C105" s="1020" t="s">
        <v>220</v>
      </c>
      <c r="D105" s="1021">
        <f t="shared" si="2"/>
        <v>0</v>
      </c>
      <c r="E105" s="1021">
        <f t="shared" si="2"/>
        <v>0</v>
      </c>
      <c r="F105" s="1290" t="e">
        <f t="shared" si="1"/>
        <v>#DIV/0!</v>
      </c>
      <c r="G105" s="190"/>
      <c r="H105" s="139"/>
      <c r="I105" s="139"/>
      <c r="J105" s="139"/>
      <c r="K105" s="188"/>
      <c r="L105" s="21"/>
      <c r="M105" s="21"/>
    </row>
    <row r="106" spans="1:24" ht="14.45" thickBot="1">
      <c r="A106" s="138"/>
      <c r="B106" s="1831"/>
      <c r="C106" s="1022" t="s">
        <v>412</v>
      </c>
      <c r="D106" s="1369">
        <f t="shared" si="2"/>
        <v>0</v>
      </c>
      <c r="E106" s="1369">
        <f t="shared" si="2"/>
        <v>0</v>
      </c>
      <c r="F106" s="1370" t="e">
        <f t="shared" si="1"/>
        <v>#DIV/0!</v>
      </c>
      <c r="G106" s="189"/>
      <c r="H106" s="139"/>
      <c r="I106" s="139"/>
      <c r="J106" s="139"/>
      <c r="K106" s="188"/>
      <c r="L106" s="21"/>
      <c r="M106" s="21"/>
    </row>
    <row r="107" spans="1:24" ht="30" customHeight="1" thickBot="1">
      <c r="A107" s="138"/>
      <c r="B107" s="1826" t="s">
        <v>440</v>
      </c>
      <c r="C107" s="1827"/>
      <c r="D107" s="1827"/>
      <c r="E107" s="1828"/>
      <c r="F107" s="139"/>
      <c r="G107" s="189"/>
      <c r="H107" s="139"/>
      <c r="I107" s="139"/>
      <c r="J107" s="139"/>
      <c r="K107" s="188"/>
      <c r="L107" s="21"/>
      <c r="M107" s="21"/>
    </row>
    <row r="108" spans="1:24" ht="14.45" thickBot="1">
      <c r="A108" s="138"/>
      <c r="B108" s="139"/>
      <c r="C108" s="139"/>
      <c r="D108" s="139"/>
      <c r="E108" s="139"/>
      <c r="F108" s="171"/>
      <c r="G108" s="189"/>
      <c r="H108" s="139"/>
      <c r="I108" s="139"/>
      <c r="J108" s="139"/>
      <c r="K108" s="188"/>
      <c r="L108" s="21"/>
      <c r="M108" s="21"/>
    </row>
    <row r="109" spans="1:24" ht="21.75" customHeight="1" thickBot="1">
      <c r="A109" s="138"/>
      <c r="B109" s="1761" t="s">
        <v>441</v>
      </c>
      <c r="C109" s="1717"/>
      <c r="D109" s="1717"/>
      <c r="E109" s="1670"/>
      <c r="F109" s="138"/>
      <c r="G109" s="138"/>
      <c r="H109" s="188"/>
      <c r="I109" s="138"/>
      <c r="J109" s="21"/>
      <c r="K109" s="21"/>
      <c r="L109" s="21"/>
      <c r="M109" s="21"/>
      <c r="N109" s="21"/>
      <c r="O109" s="21"/>
      <c r="P109" s="21"/>
      <c r="Q109" s="21"/>
      <c r="R109" s="21"/>
      <c r="S109" s="21"/>
      <c r="T109" s="21"/>
      <c r="U109" s="21"/>
      <c r="V109" s="21"/>
      <c r="W109" s="21"/>
      <c r="X109" s="21"/>
    </row>
    <row r="110" spans="1:24" ht="32.25" customHeight="1">
      <c r="A110" s="138"/>
      <c r="B110" s="997" t="s">
        <v>396</v>
      </c>
      <c r="C110" s="998" t="s">
        <v>407</v>
      </c>
      <c r="D110" s="998" t="s">
        <v>408</v>
      </c>
      <c r="E110" s="999" t="s">
        <v>442</v>
      </c>
      <c r="G110" s="138"/>
      <c r="H110" s="188"/>
      <c r="I110" s="138"/>
      <c r="J110" s="21"/>
      <c r="K110" s="21"/>
      <c r="L110" s="21"/>
      <c r="M110" s="21"/>
      <c r="N110" s="21"/>
      <c r="O110" s="21"/>
      <c r="P110" s="21"/>
      <c r="Q110" s="21"/>
      <c r="R110" s="21"/>
      <c r="S110" s="21"/>
      <c r="T110" s="21"/>
      <c r="U110" s="21"/>
      <c r="V110" s="21"/>
      <c r="W110" s="21"/>
      <c r="X110" s="21"/>
    </row>
    <row r="111" spans="1:24" ht="15.6">
      <c r="A111" s="138"/>
      <c r="B111" s="1000" t="s">
        <v>443</v>
      </c>
      <c r="C111" s="1001" t="s">
        <v>444</v>
      </c>
      <c r="D111" s="1001">
        <v>1</v>
      </c>
      <c r="E111" s="1002">
        <f>'Stationary Energy - Summary'!E32</f>
        <v>0</v>
      </c>
      <c r="H111" s="21"/>
      <c r="I111" s="21"/>
      <c r="J111" s="21"/>
      <c r="K111" s="21"/>
      <c r="L111" s="21"/>
      <c r="M111" s="21"/>
      <c r="N111" s="21"/>
      <c r="O111" s="21"/>
      <c r="P111" s="21"/>
      <c r="Q111" s="21"/>
      <c r="R111" s="21"/>
      <c r="S111" s="21"/>
      <c r="T111" s="21"/>
      <c r="U111" s="21"/>
      <c r="V111" s="21"/>
      <c r="W111" s="21"/>
      <c r="X111" s="21"/>
    </row>
    <row r="112" spans="1:24" ht="131.25" customHeight="1" thickBot="1">
      <c r="A112" s="138"/>
      <c r="B112" s="1775" t="s">
        <v>445</v>
      </c>
      <c r="C112" s="1776"/>
      <c r="D112" s="1776"/>
      <c r="E112" s="1777"/>
      <c r="G112" s="138"/>
      <c r="H112" s="188"/>
      <c r="I112" s="138"/>
      <c r="J112" s="21"/>
      <c r="K112" s="21"/>
      <c r="L112" s="21"/>
      <c r="M112" s="21"/>
      <c r="N112" s="21"/>
      <c r="O112" s="21"/>
      <c r="P112" s="21"/>
      <c r="Q112" s="21"/>
      <c r="R112" s="21"/>
      <c r="S112" s="21"/>
      <c r="T112" s="21"/>
      <c r="U112" s="21"/>
      <c r="V112" s="21"/>
      <c r="W112" s="21"/>
      <c r="X112" s="21"/>
    </row>
    <row r="113" spans="1:24" ht="14.45" thickBot="1">
      <c r="A113" s="138"/>
      <c r="F113" s="138"/>
      <c r="G113" s="139"/>
      <c r="H113" s="139"/>
      <c r="I113" s="21"/>
      <c r="P113" s="20"/>
      <c r="Q113" s="21"/>
      <c r="R113" s="21"/>
      <c r="S113" s="21"/>
      <c r="T113" s="21"/>
      <c r="U113" s="21"/>
      <c r="V113" s="21"/>
      <c r="W113" s="21"/>
      <c r="X113" s="21"/>
    </row>
    <row r="114" spans="1:24" ht="14.45" thickBot="1">
      <c r="A114" s="138"/>
      <c r="B114" s="1761" t="s">
        <v>446</v>
      </c>
      <c r="C114" s="1670"/>
      <c r="D114" s="138"/>
      <c r="E114" s="138"/>
      <c r="F114" s="139"/>
      <c r="G114" s="139"/>
      <c r="H114" s="21"/>
      <c r="O114" s="20"/>
      <c r="P114" s="21"/>
      <c r="Q114" s="21"/>
      <c r="R114" s="21"/>
      <c r="S114" s="21"/>
      <c r="T114" s="21"/>
      <c r="U114" s="21"/>
      <c r="V114" s="21"/>
      <c r="W114" s="21"/>
      <c r="X114" s="21"/>
    </row>
    <row r="115" spans="1:24" ht="13.9">
      <c r="A115" s="138"/>
      <c r="B115" s="990" t="s">
        <v>397</v>
      </c>
      <c r="C115" s="991" t="e">
        <f t="shared" ref="C115:C123" si="3">D28/$D$37</f>
        <v>#DIV/0!</v>
      </c>
      <c r="E115" s="138"/>
      <c r="F115" s="191"/>
      <c r="G115" s="191"/>
      <c r="H115" s="23"/>
      <c r="I115" s="23"/>
      <c r="L115" s="21"/>
      <c r="S115" s="20"/>
      <c r="T115" s="21"/>
      <c r="U115" s="21"/>
      <c r="V115" s="21"/>
      <c r="W115" s="21"/>
      <c r="X115" s="21"/>
    </row>
    <row r="116" spans="1:24" ht="13.9">
      <c r="A116" s="138"/>
      <c r="B116" s="992" t="s">
        <v>398</v>
      </c>
      <c r="C116" s="993" t="e">
        <f t="shared" si="3"/>
        <v>#DIV/0!</v>
      </c>
      <c r="D116" s="191"/>
      <c r="E116" s="138"/>
      <c r="F116" s="138"/>
      <c r="G116" s="138"/>
      <c r="H116" s="138"/>
      <c r="I116" s="191"/>
      <c r="J116" s="23"/>
      <c r="K116" s="23"/>
      <c r="L116" s="23"/>
      <c r="V116" s="20"/>
      <c r="W116" s="21"/>
      <c r="X116" s="21"/>
    </row>
    <row r="117" spans="1:24" ht="13.9">
      <c r="A117" s="138"/>
      <c r="B117" s="992" t="s">
        <v>115</v>
      </c>
      <c r="C117" s="993" t="e">
        <f t="shared" si="3"/>
        <v>#DIV/0!</v>
      </c>
      <c r="D117" s="138"/>
      <c r="E117" s="191"/>
      <c r="F117" s="191"/>
      <c r="G117" s="191"/>
      <c r="H117" s="139"/>
      <c r="I117" s="139"/>
      <c r="L117" s="21"/>
      <c r="M117" s="21"/>
      <c r="N117" s="21"/>
      <c r="O117" s="21"/>
      <c r="P117" s="21"/>
      <c r="Q117" s="21"/>
      <c r="R117" s="21"/>
      <c r="S117" s="21"/>
      <c r="T117" s="21"/>
      <c r="U117" s="21"/>
      <c r="V117" s="21"/>
      <c r="W117" s="21"/>
      <c r="X117" s="21"/>
    </row>
    <row r="118" spans="1:24" ht="13.9">
      <c r="A118" s="138"/>
      <c r="B118" s="994" t="s">
        <v>399</v>
      </c>
      <c r="C118" s="993" t="e">
        <f t="shared" si="3"/>
        <v>#DIV/0!</v>
      </c>
      <c r="D118" s="138"/>
      <c r="E118" s="139"/>
      <c r="F118" s="139"/>
      <c r="G118" s="139"/>
      <c r="H118" s="139"/>
      <c r="I118" s="139"/>
      <c r="L118" s="21"/>
      <c r="M118" s="21"/>
      <c r="V118" s="20"/>
      <c r="W118" s="21"/>
      <c r="X118" s="21"/>
    </row>
    <row r="119" spans="1:24" ht="13.9">
      <c r="A119" s="138"/>
      <c r="B119" s="995" t="s">
        <v>400</v>
      </c>
      <c r="C119" s="993" t="e">
        <f t="shared" si="3"/>
        <v>#DIV/0!</v>
      </c>
      <c r="D119" s="138"/>
      <c r="E119" s="138"/>
      <c r="F119" s="139"/>
      <c r="G119" s="139"/>
      <c r="H119" s="139"/>
      <c r="I119" s="139"/>
      <c r="M119" s="21"/>
      <c r="V119" s="20"/>
      <c r="W119" s="21"/>
      <c r="X119" s="21"/>
    </row>
    <row r="120" spans="1:24" ht="13.9">
      <c r="A120" s="138"/>
      <c r="B120" s="996" t="s">
        <v>401</v>
      </c>
      <c r="C120" s="993" t="e">
        <f t="shared" si="3"/>
        <v>#DIV/0!</v>
      </c>
      <c r="D120" s="138"/>
      <c r="E120" s="138"/>
      <c r="F120" s="139"/>
      <c r="G120" s="139"/>
      <c r="H120" s="139"/>
      <c r="I120" s="139"/>
      <c r="V120" s="20"/>
      <c r="W120" s="21"/>
      <c r="X120" s="21"/>
    </row>
    <row r="121" spans="1:24" ht="13.9">
      <c r="A121" s="138"/>
      <c r="B121" s="996" t="s">
        <v>402</v>
      </c>
      <c r="C121" s="993" t="e">
        <f t="shared" si="3"/>
        <v>#DIV/0!</v>
      </c>
      <c r="D121" s="138"/>
      <c r="E121" s="138"/>
      <c r="F121" s="139"/>
      <c r="G121" s="139"/>
      <c r="H121" s="139"/>
      <c r="I121" s="139"/>
      <c r="V121" s="20"/>
      <c r="W121" s="21"/>
      <c r="X121" s="21"/>
    </row>
    <row r="122" spans="1:24" ht="13.9">
      <c r="A122" s="138"/>
      <c r="B122" s="996" t="s">
        <v>403</v>
      </c>
      <c r="C122" s="993" t="e">
        <f t="shared" si="3"/>
        <v>#DIV/0!</v>
      </c>
      <c r="D122" s="138"/>
      <c r="E122" s="138"/>
      <c r="F122" s="139"/>
      <c r="G122" s="139"/>
      <c r="H122" s="139"/>
      <c r="I122" s="139"/>
      <c r="V122" s="20"/>
      <c r="W122" s="21"/>
      <c r="X122" s="21"/>
    </row>
    <row r="123" spans="1:24" ht="14.45" thickBot="1">
      <c r="A123" s="138"/>
      <c r="B123" s="1023" t="s">
        <v>404</v>
      </c>
      <c r="C123" s="1371" t="e">
        <f t="shared" si="3"/>
        <v>#DIV/0!</v>
      </c>
      <c r="D123" s="138"/>
      <c r="E123" s="138"/>
      <c r="F123" s="139"/>
      <c r="G123" s="139"/>
      <c r="H123" s="139"/>
      <c r="I123" s="139"/>
      <c r="V123" s="20"/>
      <c r="W123" s="21"/>
      <c r="X123" s="21"/>
    </row>
    <row r="124" spans="1:24" ht="14.45" thickBot="1">
      <c r="A124" s="138"/>
      <c r="B124" s="138"/>
      <c r="C124" s="138"/>
      <c r="D124" s="138"/>
      <c r="E124" s="138"/>
      <c r="F124" s="139"/>
      <c r="G124" s="139"/>
      <c r="H124" s="139"/>
      <c r="I124" s="139"/>
      <c r="V124" s="20"/>
      <c r="W124" s="21"/>
      <c r="X124" s="21"/>
    </row>
    <row r="125" spans="1:24" ht="30.6" customHeight="1" thickBot="1">
      <c r="A125" s="138"/>
      <c r="B125" s="1850" t="s">
        <v>447</v>
      </c>
      <c r="C125" s="1851"/>
      <c r="D125" s="1852"/>
      <c r="E125" s="4"/>
      <c r="F125" s="4"/>
      <c r="G125" s="4"/>
      <c r="H125" s="139"/>
      <c r="I125" s="139"/>
      <c r="V125" s="20"/>
      <c r="W125" s="21"/>
      <c r="X125" s="21"/>
    </row>
    <row r="126" spans="1:24" ht="15" thickBot="1">
      <c r="A126" s="28"/>
      <c r="B126" s="1459" t="s">
        <v>24</v>
      </c>
      <c r="C126" s="146" t="s">
        <v>396</v>
      </c>
      <c r="D126" s="147" t="s">
        <v>380</v>
      </c>
      <c r="E126" s="29"/>
      <c r="F126" s="29"/>
      <c r="G126" s="19"/>
      <c r="S126" s="20"/>
      <c r="T126" s="21"/>
      <c r="U126" s="21"/>
      <c r="V126" s="21"/>
      <c r="W126" s="21"/>
      <c r="X126" s="21"/>
    </row>
    <row r="127" spans="1:24" ht="14.45">
      <c r="A127" s="28"/>
      <c r="B127" s="1834" t="s">
        <v>384</v>
      </c>
      <c r="C127" s="148" t="s">
        <v>397</v>
      </c>
      <c r="D127" s="1208">
        <f>D28</f>
        <v>0</v>
      </c>
      <c r="E127" s="29"/>
      <c r="F127" s="29"/>
      <c r="G127" s="29"/>
      <c r="T127" s="20"/>
      <c r="U127" s="21"/>
      <c r="V127" s="21"/>
      <c r="W127" s="21"/>
      <c r="X127" s="21"/>
    </row>
    <row r="128" spans="1:24" ht="14.45">
      <c r="A128" s="28"/>
      <c r="B128" s="1835"/>
      <c r="C128" s="152" t="s">
        <v>448</v>
      </c>
      <c r="D128" s="1209">
        <f>D29-D129</f>
        <v>0</v>
      </c>
      <c r="E128" s="29"/>
      <c r="F128" s="29"/>
      <c r="G128" s="29"/>
      <c r="T128" s="20"/>
      <c r="U128" s="21"/>
      <c r="V128" s="21"/>
      <c r="W128" s="21"/>
      <c r="X128" s="21"/>
    </row>
    <row r="129" spans="1:24" ht="14.45">
      <c r="A129" s="28"/>
      <c r="B129" s="1835"/>
      <c r="C129" s="152" t="s">
        <v>449</v>
      </c>
      <c r="D129" s="1209">
        <f>D19</f>
        <v>0</v>
      </c>
      <c r="E129" s="29"/>
      <c r="F129" s="29"/>
      <c r="G129" s="29"/>
      <c r="T129" s="20"/>
      <c r="U129" s="21"/>
      <c r="V129" s="21"/>
      <c r="W129" s="21"/>
      <c r="X129" s="21"/>
    </row>
    <row r="130" spans="1:24" ht="14.45">
      <c r="A130" s="28"/>
      <c r="B130" s="1835"/>
      <c r="C130" s="152" t="s">
        <v>115</v>
      </c>
      <c r="D130" s="1209">
        <f>D30</f>
        <v>0</v>
      </c>
      <c r="E130" s="29"/>
      <c r="F130" s="29"/>
      <c r="G130" s="29"/>
      <c r="T130" s="20"/>
      <c r="U130" s="21"/>
      <c r="V130" s="21"/>
      <c r="W130" s="21"/>
      <c r="X130" s="21"/>
    </row>
    <row r="131" spans="1:24" ht="14.45">
      <c r="A131" s="28"/>
      <c r="B131" s="1836" t="s">
        <v>385</v>
      </c>
      <c r="C131" s="156" t="s">
        <v>122</v>
      </c>
      <c r="D131" s="158" t="e">
        <f>SUM('Transportation - On Road'!J43:J52)+'Transportation - On Road'!I121</f>
        <v>#DIV/0!</v>
      </c>
      <c r="E131" s="29"/>
      <c r="F131" s="29"/>
      <c r="G131" s="29"/>
      <c r="H131" s="29"/>
      <c r="U131" s="20"/>
      <c r="V131" s="21"/>
      <c r="W131" s="21"/>
      <c r="X131" s="21"/>
    </row>
    <row r="132" spans="1:24" ht="14.45">
      <c r="A132" s="28"/>
      <c r="B132" s="1853"/>
      <c r="C132" s="1201" t="s">
        <v>134</v>
      </c>
      <c r="D132" s="1202" t="e">
        <f>(SUM('Transportation - On Road'!J57:J66)+'Transportation - On Road'!I122)-D133</f>
        <v>#DIV/0!</v>
      </c>
      <c r="E132" s="29"/>
      <c r="F132" s="29"/>
      <c r="G132" s="29"/>
      <c r="H132" s="29"/>
      <c r="U132" s="20"/>
      <c r="V132" s="21"/>
      <c r="W132" s="21"/>
      <c r="X132" s="21"/>
    </row>
    <row r="133" spans="1:24" ht="14.45">
      <c r="A133" s="28"/>
      <c r="B133" s="1853"/>
      <c r="C133" s="1203" t="s">
        <v>136</v>
      </c>
      <c r="D133" s="1205" t="e">
        <f>D20</f>
        <v>#DIV/0!</v>
      </c>
      <c r="E133" s="29"/>
      <c r="F133" s="29"/>
      <c r="G133" s="29"/>
      <c r="H133" s="29"/>
      <c r="U133" s="20"/>
      <c r="V133" s="21"/>
      <c r="W133" s="21"/>
      <c r="X133" s="21"/>
    </row>
    <row r="134" spans="1:24" ht="14.45">
      <c r="A134" s="28"/>
      <c r="B134" s="1853"/>
      <c r="C134" s="1203" t="s">
        <v>139</v>
      </c>
      <c r="D134" s="1205" t="e">
        <f>SUM('Transportation - On Road'!J85:J94)-D135</f>
        <v>#DIV/0!</v>
      </c>
      <c r="E134" s="29"/>
      <c r="F134" s="29"/>
      <c r="G134" s="29"/>
      <c r="H134" s="29"/>
      <c r="U134" s="20"/>
      <c r="V134" s="21"/>
      <c r="W134" s="21"/>
      <c r="X134" s="21"/>
    </row>
    <row r="135" spans="1:24" ht="14.45">
      <c r="A135" s="28"/>
      <c r="B135" s="1853"/>
      <c r="C135" s="1204" t="s">
        <v>450</v>
      </c>
      <c r="D135" s="1206">
        <f>SUM('Transportation - On Road'!K112:K114,'Transportation - On Road'!O112:O114,'Transportation - On Road'!V112:V114,'Transportation - On Road'!I119:I120)</f>
        <v>0</v>
      </c>
      <c r="E135" s="29"/>
      <c r="F135" s="29"/>
      <c r="G135" s="29"/>
      <c r="H135" s="29"/>
      <c r="U135" s="20"/>
      <c r="V135" s="21"/>
      <c r="W135" s="21"/>
      <c r="X135" s="21"/>
    </row>
    <row r="136" spans="1:24" ht="14.45">
      <c r="A136" s="28"/>
      <c r="B136" s="1837"/>
      <c r="C136" s="159" t="s">
        <v>400</v>
      </c>
      <c r="D136" s="161">
        <f>D32</f>
        <v>0</v>
      </c>
      <c r="E136" s="29"/>
      <c r="F136" s="29"/>
      <c r="G136" s="29"/>
      <c r="H136" s="29"/>
      <c r="U136" s="20"/>
      <c r="V136" s="21"/>
      <c r="W136" s="21"/>
      <c r="X136" s="21"/>
    </row>
    <row r="137" spans="1:24">
      <c r="B137" s="1838" t="s">
        <v>386</v>
      </c>
      <c r="C137" s="162" t="s">
        <v>401</v>
      </c>
      <c r="D137" s="164">
        <f>D33</f>
        <v>818.6264603400748</v>
      </c>
      <c r="E137" s="19"/>
      <c r="F137" s="19"/>
      <c r="G137" s="19"/>
      <c r="U137" s="20"/>
      <c r="V137" s="21"/>
      <c r="W137" s="21"/>
      <c r="X137" s="21"/>
    </row>
    <row r="138" spans="1:24">
      <c r="B138" s="1839"/>
      <c r="C138" s="987" t="s">
        <v>402</v>
      </c>
      <c r="D138" s="989">
        <f>D34</f>
        <v>0</v>
      </c>
      <c r="E138" s="19"/>
      <c r="F138" s="19"/>
      <c r="G138" s="19"/>
      <c r="U138" s="20"/>
      <c r="V138" s="21"/>
      <c r="W138" s="21"/>
      <c r="X138" s="21"/>
    </row>
    <row r="139" spans="1:24">
      <c r="B139" s="1840"/>
      <c r="C139" s="165" t="s">
        <v>403</v>
      </c>
      <c r="D139" s="167">
        <f>D35</f>
        <v>721.4959030353898</v>
      </c>
      <c r="E139" s="19"/>
      <c r="F139" s="19"/>
      <c r="G139" s="19"/>
      <c r="U139" s="20"/>
      <c r="V139" s="21"/>
      <c r="W139" s="21"/>
      <c r="X139" s="21"/>
    </row>
    <row r="140" spans="1:24">
      <c r="B140" s="1841"/>
      <c r="C140" s="168" t="s">
        <v>404</v>
      </c>
      <c r="D140" s="144">
        <f>D36</f>
        <v>404.55323999999996</v>
      </c>
      <c r="E140" s="19"/>
      <c r="F140" s="19"/>
      <c r="G140" s="19"/>
      <c r="U140" s="20"/>
      <c r="V140" s="21"/>
      <c r="W140" s="21"/>
      <c r="X140" s="21"/>
    </row>
    <row r="141" spans="1:24" ht="13.9" thickBot="1">
      <c r="B141" s="1842" t="s">
        <v>405</v>
      </c>
      <c r="C141" s="1843"/>
      <c r="D141" s="1359" t="e">
        <f>SUM(D127:D140)</f>
        <v>#DIV/0!</v>
      </c>
      <c r="E141" s="19"/>
      <c r="F141" s="19"/>
      <c r="G141" s="19"/>
      <c r="U141" s="20"/>
      <c r="V141" s="21"/>
      <c r="W141" s="21"/>
      <c r="X141" s="21"/>
    </row>
    <row r="142" spans="1:24">
      <c r="B142" s="1848" t="s">
        <v>451</v>
      </c>
      <c r="C142" s="1848"/>
      <c r="D142" s="1848"/>
      <c r="E142" s="1849"/>
      <c r="F142" s="1849"/>
      <c r="G142" s="1849"/>
    </row>
    <row r="143" spans="1:24" ht="13.9" thickBot="1"/>
    <row r="144" spans="1:24" ht="33" customHeight="1" thickBot="1">
      <c r="B144" s="1761" t="s">
        <v>452</v>
      </c>
      <c r="C144" s="1670"/>
    </row>
    <row r="145" spans="2:3">
      <c r="B145" s="990" t="s">
        <v>397</v>
      </c>
      <c r="C145" s="991" t="e">
        <f>D127/$D$141</f>
        <v>#DIV/0!</v>
      </c>
    </row>
    <row r="146" spans="2:3">
      <c r="B146" s="992" t="s">
        <v>398</v>
      </c>
      <c r="C146" s="993" t="e">
        <f t="shared" ref="C146:C152" si="4">D128/$D$141</f>
        <v>#DIV/0!</v>
      </c>
    </row>
    <row r="147" spans="2:3">
      <c r="B147" s="992" t="s">
        <v>449</v>
      </c>
      <c r="C147" s="993" t="e">
        <f t="shared" si="4"/>
        <v>#DIV/0!</v>
      </c>
    </row>
    <row r="148" spans="2:3">
      <c r="B148" s="992" t="s">
        <v>115</v>
      </c>
      <c r="C148" s="993" t="e">
        <f t="shared" si="4"/>
        <v>#DIV/0!</v>
      </c>
    </row>
    <row r="149" spans="2:3">
      <c r="B149" s="994" t="s">
        <v>122</v>
      </c>
      <c r="C149" s="993" t="e">
        <f t="shared" si="4"/>
        <v>#DIV/0!</v>
      </c>
    </row>
    <row r="150" spans="2:3">
      <c r="B150" s="994" t="s">
        <v>134</v>
      </c>
      <c r="C150" s="993" t="e">
        <f t="shared" si="4"/>
        <v>#DIV/0!</v>
      </c>
    </row>
    <row r="151" spans="2:3">
      <c r="B151" s="994" t="s">
        <v>136</v>
      </c>
      <c r="C151" s="993" t="e">
        <f t="shared" si="4"/>
        <v>#DIV/0!</v>
      </c>
    </row>
    <row r="152" spans="2:3">
      <c r="B152" s="994" t="s">
        <v>139</v>
      </c>
      <c r="C152" s="993" t="e">
        <f t="shared" si="4"/>
        <v>#DIV/0!</v>
      </c>
    </row>
    <row r="153" spans="2:3" ht="26.45">
      <c r="B153" s="1229" t="s">
        <v>453</v>
      </c>
      <c r="C153" s="993" t="e">
        <f>(D135+D136)/$D$141</f>
        <v>#DIV/0!</v>
      </c>
    </row>
    <row r="154" spans="2:3" ht="26.45">
      <c r="B154" s="1228" t="s">
        <v>454</v>
      </c>
      <c r="C154" s="993" t="e">
        <f>(SUM(D137:D139))/$D$141</f>
        <v>#DIV/0!</v>
      </c>
    </row>
    <row r="155" spans="2:3" ht="13.9" thickBot="1">
      <c r="B155" s="1023" t="s">
        <v>404</v>
      </c>
      <c r="C155" s="1371" t="e">
        <f>D140/$D$141</f>
        <v>#DIV/0!</v>
      </c>
    </row>
    <row r="156" spans="2:3">
      <c r="B156" s="21" t="s">
        <v>455</v>
      </c>
    </row>
  </sheetData>
  <mergeCells count="63">
    <mergeCell ref="B144:C144"/>
    <mergeCell ref="B142:G142"/>
    <mergeCell ref="B125:D125"/>
    <mergeCell ref="B127:B130"/>
    <mergeCell ref="B131:B136"/>
    <mergeCell ref="B137:B140"/>
    <mergeCell ref="B141:C141"/>
    <mergeCell ref="G68:G69"/>
    <mergeCell ref="H68:H69"/>
    <mergeCell ref="I68:I69"/>
    <mergeCell ref="B39:F39"/>
    <mergeCell ref="C41:C45"/>
    <mergeCell ref="B20:C20"/>
    <mergeCell ref="B21:C21"/>
    <mergeCell ref="C46:C51"/>
    <mergeCell ref="B28:B30"/>
    <mergeCell ref="B31:B32"/>
    <mergeCell ref="B33:B36"/>
    <mergeCell ref="B37:C37"/>
    <mergeCell ref="B41:B52"/>
    <mergeCell ref="B94:E94"/>
    <mergeCell ref="B107:E107"/>
    <mergeCell ref="B101:B103"/>
    <mergeCell ref="B96:F96"/>
    <mergeCell ref="B104:B106"/>
    <mergeCell ref="B98:B100"/>
    <mergeCell ref="B2:F2"/>
    <mergeCell ref="C3:F3"/>
    <mergeCell ref="C4:F4"/>
    <mergeCell ref="B26:G26"/>
    <mergeCell ref="B12:C12"/>
    <mergeCell ref="B13:C13"/>
    <mergeCell ref="B14:C14"/>
    <mergeCell ref="B15:C15"/>
    <mergeCell ref="B8:F8"/>
    <mergeCell ref="B10:G10"/>
    <mergeCell ref="B11:C11"/>
    <mergeCell ref="B7:F7"/>
    <mergeCell ref="C5:F5"/>
    <mergeCell ref="B17:G17"/>
    <mergeCell ref="B18:C18"/>
    <mergeCell ref="B19:C19"/>
    <mergeCell ref="C82:C86"/>
    <mergeCell ref="C87:C89"/>
    <mergeCell ref="C68:C69"/>
    <mergeCell ref="B68:B69"/>
    <mergeCell ref="F68:F69"/>
    <mergeCell ref="B114:C114"/>
    <mergeCell ref="C70:C74"/>
    <mergeCell ref="C75:C80"/>
    <mergeCell ref="B70:B81"/>
    <mergeCell ref="C53:C57"/>
    <mergeCell ref="C58:C60"/>
    <mergeCell ref="B53:B60"/>
    <mergeCell ref="B112:E112"/>
    <mergeCell ref="B61:B64"/>
    <mergeCell ref="B65:E65"/>
    <mergeCell ref="B109:E109"/>
    <mergeCell ref="B67:I67"/>
    <mergeCell ref="E68:E69"/>
    <mergeCell ref="D68:D69"/>
    <mergeCell ref="B82:B89"/>
    <mergeCell ref="B90:B93"/>
  </mergeCells>
  <pageMargins left="0.7" right="0.7" top="0.75" bottom="0.75" header="0.3" footer="0.3"/>
  <pageSetup orientation="portrait" r:id="rId1"/>
  <ignoredErrors>
    <ignoredError sqref="E99:E100 E102 D34 G3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X41"/>
  <sheetViews>
    <sheetView showGridLines="0" zoomScaleNormal="100" workbookViewId="0"/>
  </sheetViews>
  <sheetFormatPr defaultColWidth="9.140625" defaultRowHeight="13.15"/>
  <cols>
    <col min="1" max="1" width="2.7109375" style="21" customWidth="1"/>
    <col min="2" max="2" width="36.42578125" style="21" customWidth="1"/>
    <col min="3" max="3" width="37.5703125" style="21" customWidth="1"/>
    <col min="4" max="7" width="20.7109375" style="21" customWidth="1"/>
    <col min="8" max="8" width="20.7109375" style="19" customWidth="1"/>
    <col min="9" max="9" width="34.42578125" style="19" customWidth="1"/>
    <col min="10" max="10" width="20.7109375" style="19" customWidth="1"/>
    <col min="11" max="13" width="12" style="19" customWidth="1"/>
    <col min="14" max="14" width="19" style="19" customWidth="1"/>
    <col min="15" max="15" width="11.7109375" style="19" customWidth="1"/>
    <col min="16" max="16" width="11.28515625" style="19" customWidth="1"/>
    <col min="17" max="17" width="13.42578125" style="19" customWidth="1"/>
    <col min="18" max="18" width="14.85546875" style="19" customWidth="1"/>
    <col min="19" max="20" width="10.5703125" style="19" customWidth="1"/>
    <col min="21" max="21" width="10.42578125" style="19" customWidth="1"/>
    <col min="22" max="22" width="9.28515625" style="19" bestFit="1" customWidth="1"/>
    <col min="23" max="23" width="17.7109375" style="19" customWidth="1"/>
    <col min="24" max="24" width="11.42578125" style="20" customWidth="1"/>
    <col min="25" max="25" width="9.28515625" style="21" bestFit="1" customWidth="1"/>
    <col min="26" max="26" width="18.7109375" style="21" customWidth="1"/>
    <col min="27" max="16384" width="9.140625" style="21"/>
  </cols>
  <sheetData>
    <row r="1" spans="1:24" ht="13.9" thickBot="1"/>
    <row r="2" spans="1:24" ht="24" customHeight="1" thickBot="1">
      <c r="A2" s="138"/>
      <c r="B2" s="1788" t="s">
        <v>456</v>
      </c>
      <c r="C2" s="1789"/>
      <c r="D2" s="1789"/>
      <c r="E2" s="1789"/>
      <c r="F2" s="1790"/>
      <c r="G2" s="139"/>
      <c r="H2" s="192"/>
      <c r="K2" s="139"/>
    </row>
    <row r="3" spans="1:24" ht="13.9">
      <c r="A3" s="138"/>
      <c r="B3" s="135" t="s">
        <v>373</v>
      </c>
      <c r="C3" s="1791" t="s">
        <v>374</v>
      </c>
      <c r="D3" s="1792"/>
      <c r="E3" s="1792"/>
      <c r="F3" s="1793"/>
      <c r="G3" s="140"/>
      <c r="H3" s="140"/>
      <c r="I3" s="140"/>
      <c r="J3" s="139"/>
      <c r="K3" s="139"/>
    </row>
    <row r="4" spans="1:24" ht="13.9">
      <c r="A4" s="138"/>
      <c r="B4" s="1057" t="s">
        <v>375</v>
      </c>
      <c r="C4" s="1794" t="s">
        <v>376</v>
      </c>
      <c r="D4" s="1795"/>
      <c r="E4" s="1795"/>
      <c r="F4" s="1796"/>
      <c r="G4" s="140"/>
      <c r="H4" s="140"/>
      <c r="I4" s="140"/>
      <c r="J4" s="139"/>
      <c r="K4" s="139"/>
    </row>
    <row r="5" spans="1:24" ht="14.25" customHeight="1" thickBot="1">
      <c r="A5" s="138"/>
      <c r="B5" s="1058" t="s">
        <v>9</v>
      </c>
      <c r="C5" s="1818" t="s">
        <v>457</v>
      </c>
      <c r="D5" s="1819"/>
      <c r="E5" s="1819"/>
      <c r="F5" s="1820"/>
      <c r="G5" s="140"/>
      <c r="H5" s="140"/>
      <c r="I5" s="140"/>
      <c r="J5" s="139"/>
      <c r="K5" s="139"/>
    </row>
    <row r="6" spans="1:24" ht="12" customHeight="1" thickBot="1">
      <c r="A6" s="138"/>
      <c r="B6" s="137"/>
      <c r="C6" s="141"/>
      <c r="D6" s="141"/>
      <c r="E6" s="141"/>
      <c r="F6" s="141"/>
      <c r="G6" s="140"/>
      <c r="H6" s="140"/>
      <c r="I6" s="140"/>
      <c r="J6" s="139"/>
      <c r="K6" s="139"/>
    </row>
    <row r="7" spans="1:24" ht="14.45" thickBot="1">
      <c r="A7" s="138"/>
      <c r="B7" s="1815" t="s">
        <v>377</v>
      </c>
      <c r="C7" s="1816"/>
      <c r="D7" s="1816"/>
      <c r="E7" s="1816"/>
      <c r="F7" s="1817"/>
      <c r="G7" s="140"/>
      <c r="H7" s="140"/>
      <c r="I7" s="140"/>
      <c r="J7" s="139"/>
      <c r="K7" s="139"/>
    </row>
    <row r="8" spans="1:24" ht="71.25" customHeight="1" thickBot="1">
      <c r="A8" s="138"/>
      <c r="B8" s="1807" t="s">
        <v>458</v>
      </c>
      <c r="C8" s="1808"/>
      <c r="D8" s="1808"/>
      <c r="E8" s="1808"/>
      <c r="F8" s="1809"/>
      <c r="G8" s="26"/>
      <c r="H8" s="26"/>
      <c r="I8" s="26"/>
      <c r="J8" s="139"/>
      <c r="K8" s="139"/>
    </row>
    <row r="9" spans="1:24" ht="13.9">
      <c r="A9" s="138"/>
      <c r="B9" s="26"/>
      <c r="C9" s="26"/>
      <c r="D9" s="26"/>
      <c r="E9" s="26"/>
      <c r="F9" s="139"/>
      <c r="G9" s="26"/>
      <c r="H9" s="26"/>
      <c r="I9" s="26"/>
      <c r="J9" s="139"/>
      <c r="K9" s="139"/>
      <c r="N9" s="195"/>
    </row>
    <row r="10" spans="1:24" ht="14.45" thickBot="1">
      <c r="A10" s="138"/>
      <c r="B10" s="26"/>
      <c r="C10" s="26"/>
      <c r="D10" s="26"/>
      <c r="E10" s="26"/>
      <c r="F10" s="139"/>
      <c r="G10" s="26"/>
      <c r="H10" s="26"/>
      <c r="I10" s="26"/>
      <c r="J10" s="139"/>
      <c r="K10" s="139"/>
      <c r="N10" s="195"/>
    </row>
    <row r="11" spans="1:24" ht="15.75" customHeight="1" thickBot="1">
      <c r="A11" s="138"/>
      <c r="B11" s="1854" t="s">
        <v>459</v>
      </c>
      <c r="C11" s="1855"/>
      <c r="D11" s="1855"/>
      <c r="E11" s="1855"/>
      <c r="F11" s="1855"/>
      <c r="G11" s="1855"/>
      <c r="H11" s="2113"/>
      <c r="I11" s="142"/>
      <c r="J11" s="142"/>
      <c r="K11" s="22"/>
      <c r="L11" s="22"/>
      <c r="N11" s="195"/>
      <c r="W11" s="20"/>
      <c r="X11" s="21"/>
    </row>
    <row r="12" spans="1:24" ht="27" thickBot="1">
      <c r="A12" s="138"/>
      <c r="B12" s="1813" t="s">
        <v>24</v>
      </c>
      <c r="C12" s="1814"/>
      <c r="D12" s="1460" t="s">
        <v>460</v>
      </c>
      <c r="E12" s="1460" t="s">
        <v>461</v>
      </c>
      <c r="F12" s="1460" t="s">
        <v>461</v>
      </c>
      <c r="G12" s="1460" t="s">
        <v>462</v>
      </c>
      <c r="H12" s="147" t="s">
        <v>463</v>
      </c>
      <c r="I12" s="142"/>
      <c r="J12" s="22"/>
      <c r="K12" s="22"/>
      <c r="N12" s="195"/>
      <c r="V12" s="20"/>
      <c r="W12" s="21"/>
      <c r="X12" s="21"/>
    </row>
    <row r="13" spans="1:24" ht="13.9">
      <c r="A13" s="138"/>
      <c r="B13" s="1856" t="s">
        <v>384</v>
      </c>
      <c r="C13" s="1857"/>
      <c r="D13" s="193"/>
      <c r="E13" s="193"/>
      <c r="F13" s="193"/>
      <c r="G13" s="193">
        <f>'All Emissions - Summary'!D12</f>
        <v>0</v>
      </c>
      <c r="H13" s="1061"/>
      <c r="I13" s="142"/>
      <c r="J13" s="22"/>
      <c r="K13" s="22"/>
      <c r="N13" s="195"/>
      <c r="V13" s="20"/>
      <c r="W13" s="21"/>
      <c r="X13" s="21"/>
    </row>
    <row r="14" spans="1:24" ht="13.9">
      <c r="A14" s="138"/>
      <c r="B14" s="1801" t="s">
        <v>385</v>
      </c>
      <c r="C14" s="1802"/>
      <c r="D14" s="1062"/>
      <c r="E14" s="1062"/>
      <c r="F14" s="1062"/>
      <c r="G14" s="1062" t="e">
        <f>'All Emissions - Summary'!D13</f>
        <v>#DIV/0!</v>
      </c>
      <c r="H14" s="1063"/>
      <c r="I14" s="142"/>
      <c r="J14" s="22"/>
      <c r="K14" s="22"/>
      <c r="N14" s="195"/>
      <c r="V14" s="20"/>
      <c r="W14" s="21"/>
      <c r="X14" s="21"/>
    </row>
    <row r="15" spans="1:24" ht="13.9">
      <c r="A15" s="138"/>
      <c r="B15" s="1803" t="s">
        <v>386</v>
      </c>
      <c r="C15" s="1804"/>
      <c r="D15" s="1064"/>
      <c r="E15" s="1064"/>
      <c r="F15" s="1064"/>
      <c r="G15" s="1064">
        <f>'All Emissions - Summary'!D14</f>
        <v>1944.6756033754646</v>
      </c>
      <c r="H15" s="1065"/>
      <c r="I15" s="142"/>
      <c r="J15" s="22"/>
      <c r="K15" s="22"/>
      <c r="N15" s="195"/>
      <c r="V15" s="20"/>
      <c r="W15" s="21"/>
      <c r="X15" s="21"/>
    </row>
    <row r="16" spans="1:24" ht="14.45" thickBot="1">
      <c r="A16" s="138"/>
      <c r="B16" s="1805" t="s">
        <v>387</v>
      </c>
      <c r="C16" s="1806"/>
      <c r="D16" s="1358">
        <f>SUM(D13:D15)</f>
        <v>0</v>
      </c>
      <c r="E16" s="1358">
        <f>SUM(E13:E15)</f>
        <v>0</v>
      </c>
      <c r="F16" s="1358">
        <f>SUM(F13:F15)</f>
        <v>0</v>
      </c>
      <c r="G16" s="1358" t="e">
        <f>SUM(G13:G15)</f>
        <v>#DIV/0!</v>
      </c>
      <c r="H16" s="1372"/>
      <c r="I16" s="142"/>
      <c r="J16" s="142"/>
      <c r="K16" s="22"/>
      <c r="L16" s="22"/>
      <c r="N16" s="195"/>
      <c r="O16" s="196"/>
      <c r="W16" s="20"/>
      <c r="X16" s="21"/>
    </row>
    <row r="17" spans="1:24" ht="14.45" thickBot="1">
      <c r="A17" s="138"/>
      <c r="B17" s="1094"/>
      <c r="C17" s="1094"/>
      <c r="D17" s="1095"/>
      <c r="E17" s="1095"/>
      <c r="F17" s="1095"/>
      <c r="G17" s="1095"/>
      <c r="H17" s="1096"/>
      <c r="I17" s="142"/>
      <c r="J17" s="142"/>
      <c r="K17" s="22"/>
      <c r="L17" s="22"/>
      <c r="N17" s="195"/>
      <c r="O17" s="196"/>
      <c r="W17" s="20"/>
      <c r="X17" s="21"/>
    </row>
    <row r="18" spans="1:24" ht="14.45" thickBot="1">
      <c r="A18" s="138"/>
      <c r="B18" s="1858" t="s">
        <v>464</v>
      </c>
      <c r="C18" s="1859"/>
      <c r="D18" s="1859"/>
      <c r="E18" s="1859"/>
      <c r="F18" s="1859"/>
      <c r="G18" s="1859"/>
      <c r="H18" s="2114"/>
      <c r="I18" s="142"/>
      <c r="J18" s="142"/>
      <c r="K18" s="22"/>
      <c r="L18" s="22"/>
      <c r="N18" s="195"/>
      <c r="O18" s="196"/>
      <c r="W18" s="20"/>
      <c r="X18" s="21"/>
    </row>
    <row r="19" spans="1:24" ht="27" thickBot="1">
      <c r="A19" s="138"/>
      <c r="B19" s="1824" t="s">
        <v>24</v>
      </c>
      <c r="C19" s="1825"/>
      <c r="D19" s="1461" t="s">
        <v>460</v>
      </c>
      <c r="E19" s="1461" t="s">
        <v>461</v>
      </c>
      <c r="F19" s="1461" t="s">
        <v>461</v>
      </c>
      <c r="G19" s="1461" t="s">
        <v>462</v>
      </c>
      <c r="H19" s="1078" t="s">
        <v>463</v>
      </c>
      <c r="I19" s="142"/>
      <c r="J19" s="142"/>
      <c r="K19" s="22"/>
      <c r="L19" s="22"/>
      <c r="N19" s="195"/>
      <c r="O19" s="196"/>
      <c r="W19" s="20"/>
      <c r="X19" s="21"/>
    </row>
    <row r="20" spans="1:24" ht="13.9">
      <c r="A20" s="138"/>
      <c r="B20" s="1856" t="s">
        <v>384</v>
      </c>
      <c r="C20" s="1857"/>
      <c r="D20" s="193"/>
      <c r="E20" s="193"/>
      <c r="F20" s="193"/>
      <c r="G20" s="193">
        <f>'All Emissions - Summary'!D19</f>
        <v>0</v>
      </c>
      <c r="H20" s="1061"/>
      <c r="I20" s="142"/>
      <c r="J20" s="142"/>
      <c r="K20" s="22"/>
      <c r="L20" s="22"/>
      <c r="N20" s="195"/>
      <c r="O20" s="196"/>
      <c r="W20" s="20"/>
      <c r="X20" s="21"/>
    </row>
    <row r="21" spans="1:24" ht="13.9">
      <c r="A21" s="138"/>
      <c r="B21" s="1801" t="s">
        <v>385</v>
      </c>
      <c r="C21" s="1802"/>
      <c r="D21" s="1062"/>
      <c r="E21" s="1062"/>
      <c r="F21" s="1062"/>
      <c r="G21" s="1062" t="e">
        <f>'All Emissions - Summary'!D20</f>
        <v>#DIV/0!</v>
      </c>
      <c r="H21" s="1063"/>
      <c r="I21" s="142"/>
      <c r="J21" s="142"/>
      <c r="K21" s="22"/>
      <c r="L21" s="22"/>
      <c r="N21" s="195"/>
      <c r="O21" s="196"/>
      <c r="W21" s="20"/>
      <c r="X21" s="21"/>
    </row>
    <row r="22" spans="1:24" ht="14.45" thickBot="1">
      <c r="A22" s="138"/>
      <c r="B22" s="1805" t="s">
        <v>387</v>
      </c>
      <c r="C22" s="1806"/>
      <c r="D22" s="1358">
        <f>SUM(D20:D21)</f>
        <v>0</v>
      </c>
      <c r="E22" s="1358">
        <f>SUM(E20:E21)</f>
        <v>0</v>
      </c>
      <c r="F22" s="1358">
        <f>SUM(F20:F21)</f>
        <v>0</v>
      </c>
      <c r="G22" s="1358" t="e">
        <f>SUM(G20:G21)</f>
        <v>#DIV/0!</v>
      </c>
      <c r="H22" s="1372"/>
      <c r="I22" s="142"/>
      <c r="J22" s="142"/>
      <c r="K22" s="22"/>
      <c r="L22" s="22"/>
      <c r="N22" s="195"/>
      <c r="O22" s="196"/>
      <c r="W22" s="20"/>
      <c r="X22" s="21"/>
    </row>
    <row r="23" spans="1:24" ht="14.45" thickBot="1">
      <c r="A23" s="138"/>
      <c r="B23" s="1094"/>
      <c r="C23" s="1094"/>
      <c r="D23" s="1095"/>
      <c r="E23" s="1095"/>
      <c r="F23" s="1095"/>
      <c r="G23" s="1095"/>
      <c r="H23" s="1096"/>
      <c r="I23" s="142"/>
      <c r="J23" s="142"/>
      <c r="K23" s="22"/>
      <c r="L23" s="22"/>
      <c r="N23" s="195"/>
      <c r="O23" s="196"/>
      <c r="W23" s="20"/>
      <c r="X23" s="21"/>
    </row>
    <row r="24" spans="1:24" ht="14.45" thickBot="1">
      <c r="A24" s="138"/>
      <c r="B24" s="1761" t="s">
        <v>465</v>
      </c>
      <c r="C24" s="1797"/>
      <c r="D24" s="1797"/>
      <c r="E24" s="1797"/>
      <c r="F24" s="1797"/>
      <c r="G24" s="1797"/>
      <c r="H24" s="1670"/>
      <c r="I24" s="142"/>
      <c r="J24" s="142"/>
      <c r="K24" s="22"/>
      <c r="L24" s="22"/>
      <c r="N24" s="195"/>
      <c r="W24" s="20"/>
      <c r="X24" s="21"/>
    </row>
    <row r="25" spans="1:24" ht="27" thickBot="1">
      <c r="A25" s="138"/>
      <c r="B25" s="1459" t="s">
        <v>24</v>
      </c>
      <c r="C25" s="146" t="s">
        <v>396</v>
      </c>
      <c r="D25" s="1460" t="s">
        <v>460</v>
      </c>
      <c r="E25" s="1460" t="s">
        <v>461</v>
      </c>
      <c r="F25" s="1460" t="s">
        <v>461</v>
      </c>
      <c r="G25" s="1460" t="s">
        <v>462</v>
      </c>
      <c r="H25" s="147" t="s">
        <v>463</v>
      </c>
      <c r="I25" s="142"/>
      <c r="J25" s="142"/>
      <c r="K25" s="22"/>
      <c r="L25" s="22"/>
      <c r="N25" s="194"/>
      <c r="W25" s="20"/>
      <c r="X25" s="21"/>
    </row>
    <row r="26" spans="1:24" ht="13.9">
      <c r="A26" s="138"/>
      <c r="B26" s="1834" t="s">
        <v>384</v>
      </c>
      <c r="C26" s="148" t="s">
        <v>397</v>
      </c>
      <c r="D26" s="149"/>
      <c r="E26" s="150"/>
      <c r="F26" s="150"/>
      <c r="G26" s="150">
        <f>'All Emissions - Summary'!D28</f>
        <v>0</v>
      </c>
      <c r="H26" s="1066"/>
      <c r="T26" s="20"/>
      <c r="U26" s="21"/>
      <c r="V26" s="21"/>
      <c r="W26" s="21"/>
      <c r="X26" s="21"/>
    </row>
    <row r="27" spans="1:24" ht="13.9">
      <c r="A27" s="138"/>
      <c r="B27" s="1835"/>
      <c r="C27" s="152" t="s">
        <v>398</v>
      </c>
      <c r="D27" s="153"/>
      <c r="E27" s="154"/>
      <c r="F27" s="154"/>
      <c r="G27" s="154">
        <f>'All Emissions - Summary'!D29</f>
        <v>0</v>
      </c>
      <c r="H27" s="1067"/>
      <c r="T27" s="20"/>
      <c r="U27" s="21"/>
      <c r="V27" s="21"/>
      <c r="W27" s="21"/>
      <c r="X27" s="21"/>
    </row>
    <row r="28" spans="1:24" ht="13.9">
      <c r="A28" s="138"/>
      <c r="B28" s="1835"/>
      <c r="C28" s="152" t="s">
        <v>115</v>
      </c>
      <c r="D28" s="153"/>
      <c r="E28" s="154"/>
      <c r="F28" s="154"/>
      <c r="G28" s="154">
        <f>'All Emissions - Summary'!D30</f>
        <v>0</v>
      </c>
      <c r="H28" s="1067"/>
      <c r="T28" s="20"/>
      <c r="U28" s="21"/>
      <c r="V28" s="21"/>
      <c r="W28" s="21"/>
      <c r="X28" s="21"/>
    </row>
    <row r="29" spans="1:24" ht="13.9">
      <c r="A29" s="138"/>
      <c r="B29" s="1836" t="s">
        <v>385</v>
      </c>
      <c r="C29" s="156" t="s">
        <v>399</v>
      </c>
      <c r="D29" s="157"/>
      <c r="E29" s="157"/>
      <c r="F29" s="157"/>
      <c r="G29" s="157" t="e">
        <f>'All Emissions - Summary'!D31</f>
        <v>#DIV/0!</v>
      </c>
      <c r="H29" s="1068"/>
      <c r="I29" s="21"/>
      <c r="J29" s="21"/>
      <c r="K29" s="21"/>
      <c r="T29" s="20"/>
      <c r="U29" s="21"/>
      <c r="V29" s="21"/>
      <c r="W29" s="21"/>
      <c r="X29" s="21"/>
    </row>
    <row r="30" spans="1:24" ht="13.9">
      <c r="A30" s="138"/>
      <c r="B30" s="1837"/>
      <c r="C30" s="159" t="s">
        <v>466</v>
      </c>
      <c r="D30" s="160"/>
      <c r="E30" s="160"/>
      <c r="F30" s="160"/>
      <c r="G30" s="160">
        <f>'All Emissions - Summary'!D32</f>
        <v>0</v>
      </c>
      <c r="H30" s="1069"/>
      <c r="I30" s="21"/>
      <c r="J30" s="21"/>
      <c r="K30" s="21"/>
      <c r="T30" s="20"/>
      <c r="U30" s="21"/>
      <c r="V30" s="21"/>
      <c r="W30" s="21"/>
      <c r="X30" s="21"/>
    </row>
    <row r="31" spans="1:24" ht="13.9">
      <c r="A31" s="138"/>
      <c r="B31" s="1838" t="s">
        <v>386</v>
      </c>
      <c r="C31" s="162" t="s">
        <v>401</v>
      </c>
      <c r="D31" s="163"/>
      <c r="E31" s="163"/>
      <c r="F31" s="163"/>
      <c r="G31" s="163">
        <f>'All Emissions - Summary'!D33</f>
        <v>818.6264603400748</v>
      </c>
      <c r="H31" s="1070"/>
      <c r="I31" s="21"/>
      <c r="J31" s="21"/>
      <c r="K31" s="21"/>
      <c r="T31" s="20"/>
      <c r="U31" s="21"/>
      <c r="V31" s="21"/>
      <c r="W31" s="21"/>
      <c r="X31" s="21"/>
    </row>
    <row r="32" spans="1:24" ht="13.9">
      <c r="A32" s="138"/>
      <c r="B32" s="1839"/>
      <c r="C32" s="987" t="s">
        <v>402</v>
      </c>
      <c r="D32" s="988"/>
      <c r="E32" s="988"/>
      <c r="F32" s="988"/>
      <c r="G32" s="988">
        <f>'All Emissions - Summary'!D34</f>
        <v>0</v>
      </c>
      <c r="H32" s="1071"/>
      <c r="I32" s="21"/>
      <c r="J32" s="21"/>
      <c r="K32" s="21"/>
      <c r="T32" s="20"/>
      <c r="U32" s="21"/>
      <c r="V32" s="21"/>
      <c r="W32" s="21"/>
      <c r="X32" s="21"/>
    </row>
    <row r="33" spans="1:24" ht="13.9">
      <c r="A33" s="138"/>
      <c r="B33" s="1840"/>
      <c r="C33" s="165" t="s">
        <v>403</v>
      </c>
      <c r="D33" s="166"/>
      <c r="E33" s="166"/>
      <c r="F33" s="166"/>
      <c r="G33" s="166">
        <f>'All Emissions - Summary'!D35</f>
        <v>721.4959030353898</v>
      </c>
      <c r="H33" s="1072"/>
      <c r="I33" s="21"/>
      <c r="J33" s="21"/>
      <c r="K33" s="21"/>
      <c r="T33" s="20"/>
      <c r="U33" s="21"/>
      <c r="V33" s="21"/>
      <c r="W33" s="21"/>
      <c r="X33" s="21"/>
    </row>
    <row r="34" spans="1:24" ht="13.9">
      <c r="A34" s="138"/>
      <c r="B34" s="1841"/>
      <c r="C34" s="168" t="s">
        <v>404</v>
      </c>
      <c r="D34" s="143"/>
      <c r="E34" s="143"/>
      <c r="F34" s="143"/>
      <c r="G34" s="143">
        <f>'All Emissions - Summary'!D36</f>
        <v>404.55323999999996</v>
      </c>
      <c r="H34" s="1073"/>
      <c r="I34" s="21"/>
      <c r="J34" s="21"/>
      <c r="K34" s="21"/>
      <c r="T34" s="20"/>
      <c r="U34" s="21"/>
      <c r="V34" s="21"/>
      <c r="W34" s="21"/>
      <c r="X34" s="21"/>
    </row>
    <row r="35" spans="1:24" ht="14.45" thickBot="1">
      <c r="A35" s="138"/>
      <c r="B35" s="1842" t="s">
        <v>405</v>
      </c>
      <c r="C35" s="1843"/>
      <c r="D35" s="1358">
        <f>SUM(D26:D34)</f>
        <v>0</v>
      </c>
      <c r="E35" s="1358">
        <f>SUM(E26:E34)</f>
        <v>0</v>
      </c>
      <c r="F35" s="1358">
        <f>SUM(F26:F34)</f>
        <v>0</v>
      </c>
      <c r="G35" s="1358" t="e">
        <f>SUM(G26:G34)</f>
        <v>#DIV/0!</v>
      </c>
      <c r="H35" s="1074"/>
      <c r="I35" s="21"/>
      <c r="J35" s="21"/>
      <c r="K35" s="21"/>
      <c r="L35" s="22"/>
      <c r="W35" s="20"/>
      <c r="X35" s="21"/>
    </row>
    <row r="36" spans="1:24" ht="13.9">
      <c r="A36" s="138"/>
      <c r="B36" s="138"/>
      <c r="C36" s="145"/>
      <c r="D36" s="145"/>
      <c r="E36" s="145"/>
      <c r="F36" s="145"/>
      <c r="G36" s="142"/>
      <c r="H36" s="142"/>
      <c r="I36" s="142"/>
      <c r="J36" s="142"/>
      <c r="K36" s="22"/>
      <c r="L36" s="22"/>
      <c r="W36" s="20"/>
      <c r="X36" s="21"/>
    </row>
    <row r="37" spans="1:24" ht="14.45">
      <c r="A37" s="28"/>
      <c r="B37" s="28"/>
      <c r="C37" s="28"/>
      <c r="D37" s="28"/>
      <c r="E37" s="28"/>
      <c r="F37" s="28"/>
      <c r="G37" s="29"/>
      <c r="H37" s="29"/>
      <c r="I37" s="29"/>
      <c r="J37" s="29"/>
      <c r="W37" s="20"/>
      <c r="X37" s="21"/>
    </row>
    <row r="38" spans="1:24" ht="14.45">
      <c r="A38" s="28"/>
      <c r="B38" s="28"/>
      <c r="C38" s="28"/>
      <c r="D38" s="28"/>
      <c r="E38" s="28"/>
      <c r="F38" s="28"/>
      <c r="G38" s="29"/>
      <c r="H38" s="29"/>
      <c r="I38" s="29"/>
      <c r="J38" s="29"/>
      <c r="W38" s="20"/>
      <c r="X38" s="21"/>
    </row>
    <row r="39" spans="1:24" ht="14.45">
      <c r="A39" s="28"/>
      <c r="B39" s="28"/>
      <c r="C39" s="28"/>
      <c r="D39" s="28"/>
      <c r="E39" s="28"/>
      <c r="F39" s="28"/>
      <c r="G39" s="29"/>
      <c r="H39" s="29"/>
      <c r="I39" s="29"/>
      <c r="J39" s="29"/>
      <c r="W39" s="20"/>
      <c r="X39" s="21"/>
    </row>
    <row r="40" spans="1:24" ht="14.45">
      <c r="A40" s="28"/>
      <c r="B40" s="28"/>
      <c r="C40" s="28"/>
      <c r="D40" s="28"/>
      <c r="E40" s="28"/>
      <c r="F40" s="28"/>
      <c r="G40" s="28"/>
      <c r="H40" s="29"/>
      <c r="I40" s="29"/>
      <c r="J40" s="29"/>
      <c r="K40" s="29"/>
    </row>
    <row r="41" spans="1:24" ht="14.45">
      <c r="A41" s="28"/>
      <c r="B41" s="28"/>
      <c r="C41" s="28"/>
      <c r="D41" s="28"/>
      <c r="E41" s="28"/>
      <c r="F41" s="28"/>
      <c r="G41" s="28"/>
      <c r="H41" s="29"/>
      <c r="I41" s="29"/>
      <c r="J41" s="29"/>
      <c r="K41" s="29"/>
    </row>
  </sheetData>
  <mergeCells count="22">
    <mergeCell ref="B8:F8"/>
    <mergeCell ref="B2:F2"/>
    <mergeCell ref="C3:F3"/>
    <mergeCell ref="C4:F4"/>
    <mergeCell ref="C5:F5"/>
    <mergeCell ref="B7:F7"/>
    <mergeCell ref="B11:H11"/>
    <mergeCell ref="B26:B28"/>
    <mergeCell ref="B29:B30"/>
    <mergeCell ref="B31:B34"/>
    <mergeCell ref="B35:C35"/>
    <mergeCell ref="B12:C12"/>
    <mergeCell ref="B13:C13"/>
    <mergeCell ref="B14:C14"/>
    <mergeCell ref="B15:C15"/>
    <mergeCell ref="B16:C16"/>
    <mergeCell ref="B24:H24"/>
    <mergeCell ref="B18:H18"/>
    <mergeCell ref="B19:C19"/>
    <mergeCell ref="B20:C20"/>
    <mergeCell ref="B21:C21"/>
    <mergeCell ref="B22:C2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N356"/>
  <sheetViews>
    <sheetView showGridLines="0" topLeftCell="C1" workbookViewId="0">
      <selection activeCell="B11" sqref="B11"/>
    </sheetView>
  </sheetViews>
  <sheetFormatPr defaultRowHeight="13.15"/>
  <cols>
    <col min="1" max="1" width="37.7109375" customWidth="1"/>
    <col min="2" max="2" width="36" customWidth="1"/>
    <col min="3" max="3" width="23.7109375" customWidth="1"/>
    <col min="4" max="4" width="35" customWidth="1"/>
    <col min="5" max="6" width="29.42578125" customWidth="1"/>
    <col min="7" max="7" width="33.5703125" customWidth="1"/>
    <col min="8" max="8" width="17.28515625" customWidth="1"/>
    <col min="9" max="9" width="21" customWidth="1"/>
    <col min="10" max="14" width="17.28515625" customWidth="1"/>
  </cols>
  <sheetData>
    <row r="1" spans="1:14">
      <c r="A1" s="1103" t="s">
        <v>467</v>
      </c>
      <c r="B1" s="1103" t="s">
        <v>468</v>
      </c>
      <c r="C1" s="1103" t="s">
        <v>469</v>
      </c>
      <c r="D1" s="1103" t="s">
        <v>470</v>
      </c>
      <c r="E1" s="1103" t="s">
        <v>471</v>
      </c>
      <c r="F1" s="1103" t="s">
        <v>472</v>
      </c>
      <c r="G1" s="1103" t="s">
        <v>473</v>
      </c>
      <c r="H1" s="1103" t="s">
        <v>474</v>
      </c>
      <c r="I1" s="1103" t="s">
        <v>475</v>
      </c>
      <c r="J1" s="1103" t="s">
        <v>476</v>
      </c>
    </row>
    <row r="2" spans="1:14" ht="28.5" customHeight="1">
      <c r="A2" s="530" t="s">
        <v>45</v>
      </c>
      <c r="B2" s="530" t="s">
        <v>163</v>
      </c>
      <c r="C2" s="530" t="s">
        <v>477</v>
      </c>
      <c r="D2" s="530" t="s">
        <v>14</v>
      </c>
      <c r="E2" s="531" t="s">
        <v>8</v>
      </c>
      <c r="F2" s="530" t="str">
        <f>'Waste-Solid Waste Disposal'!B17</f>
        <v>Northampton Landfill</v>
      </c>
      <c r="G2" s="530" t="s">
        <v>478</v>
      </c>
      <c r="H2" s="530" t="s">
        <v>37</v>
      </c>
      <c r="I2" s="531">
        <f>'Emission Factors'!J38</f>
        <v>1.6723372833551972E-4</v>
      </c>
      <c r="J2" s="1124" t="s">
        <v>108</v>
      </c>
      <c r="K2" s="531"/>
      <c r="L2" s="531"/>
      <c r="M2" s="531"/>
      <c r="N2" s="531"/>
    </row>
    <row r="3" spans="1:14">
      <c r="A3" s="530" t="s">
        <v>479</v>
      </c>
      <c r="B3" s="530" t="s">
        <v>45</v>
      </c>
      <c r="C3" s="530" t="s">
        <v>12</v>
      </c>
      <c r="D3" s="530" t="s">
        <v>480</v>
      </c>
      <c r="E3" s="531" t="s">
        <v>481</v>
      </c>
      <c r="F3" s="530" t="str">
        <f>'Waste-Solid Waste Disposal'!B18</f>
        <v>Granby Sanitary Landfill</v>
      </c>
      <c r="G3" s="530" t="s">
        <v>201</v>
      </c>
      <c r="H3" s="530" t="s">
        <v>482</v>
      </c>
      <c r="I3" s="531">
        <f>'Emission Factors'!J67</f>
        <v>0</v>
      </c>
      <c r="J3" s="1124" t="s">
        <v>483</v>
      </c>
      <c r="K3" s="531"/>
      <c r="L3" s="531"/>
      <c r="M3" s="531"/>
      <c r="N3" s="531"/>
    </row>
    <row r="4" spans="1:14" ht="28.5" customHeight="1">
      <c r="A4" s="531"/>
      <c r="B4" s="530" t="s">
        <v>479</v>
      </c>
      <c r="C4" s="530" t="s">
        <v>20</v>
      </c>
      <c r="D4" s="531" t="s">
        <v>237</v>
      </c>
      <c r="E4" s="531" t="s">
        <v>484</v>
      </c>
      <c r="F4" s="530" t="str">
        <f>'Waste-Solid Waste Disposal'!B19</f>
        <v>Chicopee Sanitary Landfill</v>
      </c>
      <c r="G4" s="530" t="s">
        <v>485</v>
      </c>
      <c r="H4" s="530" t="s">
        <v>486</v>
      </c>
      <c r="I4" s="531">
        <f>'Emission Factors'!E33/2204600</f>
        <v>2.889413045450422E-4</v>
      </c>
      <c r="J4" s="1124" t="s">
        <v>487</v>
      </c>
      <c r="K4" s="531"/>
      <c r="L4" s="531"/>
      <c r="M4" s="531"/>
      <c r="N4" s="531"/>
    </row>
    <row r="5" spans="1:14" ht="12.75" customHeight="1">
      <c r="A5" s="531"/>
      <c r="B5" s="531"/>
      <c r="C5" s="530" t="s">
        <v>236</v>
      </c>
      <c r="D5" s="531" t="s">
        <v>238</v>
      </c>
      <c r="E5" s="531" t="s">
        <v>488</v>
      </c>
      <c r="F5" s="530" t="str">
        <f>'Waste-Solid Waste Disposal'!B20</f>
        <v>Martone Landfill &amp; Gas Generating Facility</v>
      </c>
      <c r="G5" s="530" t="s">
        <v>489</v>
      </c>
      <c r="H5" s="531"/>
      <c r="I5" s="531"/>
      <c r="J5" s="1124" t="s">
        <v>490</v>
      </c>
      <c r="K5" s="531"/>
      <c r="L5" s="531"/>
      <c r="M5" s="531"/>
      <c r="N5" s="531"/>
    </row>
    <row r="6" spans="1:14" ht="12.75" customHeight="1">
      <c r="A6" s="532"/>
      <c r="B6" s="531"/>
      <c r="C6" s="530" t="s">
        <v>491</v>
      </c>
      <c r="D6" s="531" t="s">
        <v>239</v>
      </c>
      <c r="E6" s="531" t="s">
        <v>492</v>
      </c>
      <c r="F6" s="530" t="str">
        <f>'Waste-Solid Waste Disposal'!B21</f>
        <v>Southbridge Recycling &amp; Disposal Park</v>
      </c>
      <c r="G6" s="530" t="s">
        <v>493</v>
      </c>
      <c r="H6" s="531"/>
      <c r="I6" s="531"/>
      <c r="J6" s="1124" t="s">
        <v>494</v>
      </c>
      <c r="K6" s="531"/>
      <c r="L6" s="531"/>
      <c r="M6" s="531"/>
      <c r="N6" s="531"/>
    </row>
    <row r="7" spans="1:14" ht="12.75" customHeight="1">
      <c r="A7" s="531"/>
      <c r="B7" s="531"/>
      <c r="C7" s="531"/>
      <c r="D7" s="531" t="s">
        <v>240</v>
      </c>
      <c r="E7" s="531" t="s">
        <v>495</v>
      </c>
      <c r="F7" s="530" t="str">
        <f>'Waste-Solid Waste Disposal'!B22</f>
        <v>Fitchburg Westminster Landfill Recycling Center</v>
      </c>
      <c r="G7" s="530" t="s">
        <v>496</v>
      </c>
      <c r="H7" s="531"/>
      <c r="I7" s="531"/>
      <c r="J7" s="1124" t="s">
        <v>497</v>
      </c>
      <c r="K7" s="531"/>
      <c r="L7" s="531"/>
      <c r="M7" s="531"/>
      <c r="N7" s="531"/>
    </row>
    <row r="8" spans="1:14">
      <c r="A8" s="531"/>
      <c r="B8" s="531"/>
      <c r="C8" s="531"/>
      <c r="D8" s="531" t="s">
        <v>241</v>
      </c>
      <c r="E8" s="531" t="s">
        <v>498</v>
      </c>
      <c r="F8" s="530" t="str">
        <f>'Waste-Solid Waste Disposal'!B23</f>
        <v>Plainville Landfill</v>
      </c>
      <c r="G8" s="531"/>
      <c r="H8" s="531"/>
      <c r="I8" s="531"/>
      <c r="J8" s="1124" t="s">
        <v>499</v>
      </c>
      <c r="K8" s="531"/>
      <c r="L8" s="531"/>
      <c r="M8" s="531"/>
      <c r="N8" s="531"/>
    </row>
    <row r="9" spans="1:14">
      <c r="A9" s="531"/>
      <c r="B9" s="531"/>
      <c r="C9" s="531"/>
      <c r="D9" s="531" t="s">
        <v>242</v>
      </c>
      <c r="E9" s="531" t="s">
        <v>500</v>
      </c>
      <c r="F9" s="530" t="str">
        <f>'Waste-Solid Waste Disposal'!B24</f>
        <v>Taunton Sanitary Landfill</v>
      </c>
      <c r="G9" s="531"/>
      <c r="H9" s="531"/>
      <c r="I9" s="531"/>
      <c r="J9" s="1124" t="s">
        <v>501</v>
      </c>
      <c r="K9" s="531"/>
      <c r="L9" s="531"/>
      <c r="M9" s="531"/>
      <c r="N9" s="531"/>
    </row>
    <row r="10" spans="1:14" ht="28.5" customHeight="1">
      <c r="A10" s="532"/>
      <c r="B10" s="531"/>
      <c r="C10" s="531"/>
      <c r="D10" s="531" t="s">
        <v>243</v>
      </c>
      <c r="E10" s="531" t="s">
        <v>502</v>
      </c>
      <c r="F10" s="530" t="str">
        <f>'Waste-Solid Waste Disposal'!B25</f>
        <v>Carver-Marion-Wareham Landfill</v>
      </c>
      <c r="G10" s="531"/>
      <c r="H10" s="531"/>
      <c r="I10" s="531"/>
      <c r="J10" s="1124" t="s">
        <v>503</v>
      </c>
      <c r="K10" s="531"/>
      <c r="L10" s="531"/>
      <c r="M10" s="531"/>
      <c r="N10" s="531"/>
    </row>
    <row r="11" spans="1:14" ht="12.75" customHeight="1">
      <c r="A11" s="532"/>
      <c r="B11" s="531"/>
      <c r="C11" s="531"/>
      <c r="D11" s="531" t="s">
        <v>244</v>
      </c>
      <c r="E11" s="531" t="s">
        <v>504</v>
      </c>
      <c r="F11" s="530" t="str">
        <f>'Waste-Solid Waste Disposal'!B26</f>
        <v>Middleborough Landfill</v>
      </c>
      <c r="G11" s="531"/>
      <c r="H11" s="531"/>
      <c r="I11" s="531"/>
      <c r="J11" s="1124" t="s">
        <v>505</v>
      </c>
      <c r="K11" s="531"/>
      <c r="L11" s="531"/>
      <c r="M11" s="531"/>
      <c r="N11" s="531"/>
    </row>
    <row r="12" spans="1:14" ht="12.75" customHeight="1">
      <c r="A12" s="532"/>
      <c r="B12" s="531"/>
      <c r="C12" s="531"/>
      <c r="D12" s="531" t="s">
        <v>245</v>
      </c>
      <c r="E12" s="531" t="s">
        <v>506</v>
      </c>
      <c r="F12" s="530" t="str">
        <f>'Waste-Solid Waste Disposal'!B27</f>
        <v>Halifax Landfill</v>
      </c>
      <c r="G12" s="531"/>
      <c r="H12" s="531"/>
      <c r="I12" s="531"/>
      <c r="J12" s="1124" t="s">
        <v>507</v>
      </c>
      <c r="K12" s="531"/>
      <c r="L12" s="531"/>
      <c r="M12" s="531"/>
      <c r="N12" s="531"/>
    </row>
    <row r="13" spans="1:14" ht="12.75" customHeight="1">
      <c r="A13" s="531"/>
      <c r="B13" s="531"/>
      <c r="C13" s="531"/>
      <c r="D13" s="531" t="s">
        <v>246</v>
      </c>
      <c r="E13" s="531" t="s">
        <v>508</v>
      </c>
      <c r="F13" s="530" t="str">
        <f>'Waste-Solid Waste Disposal'!B28</f>
        <v>Haverhill Landfill</v>
      </c>
      <c r="G13" s="531"/>
      <c r="H13" s="531"/>
      <c r="I13" s="531"/>
      <c r="J13" s="1124" t="s">
        <v>509</v>
      </c>
      <c r="K13" s="531"/>
      <c r="L13" s="531"/>
      <c r="M13" s="531"/>
      <c r="N13" s="531"/>
    </row>
    <row r="14" spans="1:14">
      <c r="A14" s="531"/>
      <c r="B14" s="531"/>
      <c r="C14" s="531"/>
      <c r="D14" s="531" t="s">
        <v>247</v>
      </c>
      <c r="E14" s="531" t="s">
        <v>510</v>
      </c>
      <c r="F14" s="530" t="s">
        <v>198</v>
      </c>
      <c r="G14" s="531"/>
      <c r="H14" s="531"/>
      <c r="I14" s="531"/>
      <c r="J14" s="1124" t="s">
        <v>511</v>
      </c>
      <c r="K14" s="531"/>
      <c r="L14" s="531"/>
      <c r="M14" s="531"/>
      <c r="N14" s="531"/>
    </row>
    <row r="15" spans="1:14">
      <c r="A15" s="531"/>
      <c r="B15" s="531"/>
      <c r="C15" s="531"/>
      <c r="D15" s="531" t="s">
        <v>248</v>
      </c>
      <c r="E15" s="531" t="s">
        <v>512</v>
      </c>
      <c r="F15" s="531"/>
      <c r="G15" s="531"/>
      <c r="H15" s="531"/>
      <c r="I15" s="531"/>
      <c r="J15" s="1124" t="s">
        <v>513</v>
      </c>
      <c r="K15" s="531"/>
      <c r="L15" s="531"/>
      <c r="M15" s="531"/>
      <c r="N15" s="531"/>
    </row>
    <row r="16" spans="1:14" ht="28.5" customHeight="1">
      <c r="A16" s="531"/>
      <c r="B16" s="531"/>
      <c r="C16" s="531"/>
      <c r="D16" s="531" t="s">
        <v>249</v>
      </c>
      <c r="E16" s="531" t="s">
        <v>514</v>
      </c>
      <c r="F16" s="531"/>
      <c r="G16" s="531"/>
      <c r="H16" s="531"/>
      <c r="I16" s="531"/>
      <c r="J16" s="531"/>
      <c r="K16" s="531"/>
      <c r="L16" s="531"/>
      <c r="M16" s="531"/>
      <c r="N16" s="531"/>
    </row>
    <row r="17" spans="1:14" ht="12.75" customHeight="1">
      <c r="A17" s="531"/>
      <c r="B17" s="531"/>
      <c r="C17" s="531"/>
      <c r="D17" s="531" t="s">
        <v>250</v>
      </c>
      <c r="E17" s="531" t="s">
        <v>515</v>
      </c>
      <c r="F17" s="531"/>
      <c r="G17" s="531"/>
      <c r="H17" s="531"/>
      <c r="I17" s="531"/>
      <c r="J17" s="531"/>
      <c r="K17" s="531"/>
      <c r="L17" s="531"/>
      <c r="M17" s="531"/>
      <c r="N17" s="531"/>
    </row>
    <row r="18" spans="1:14" ht="12.75" customHeight="1">
      <c r="A18" s="531"/>
      <c r="B18" s="531"/>
      <c r="C18" s="531"/>
      <c r="D18" s="531" t="s">
        <v>251</v>
      </c>
      <c r="E18" s="531" t="s">
        <v>516</v>
      </c>
      <c r="F18" s="531"/>
      <c r="G18" s="531"/>
      <c r="H18" s="531"/>
      <c r="I18" s="531"/>
      <c r="J18" s="531"/>
      <c r="K18" s="531"/>
      <c r="L18" s="531"/>
      <c r="M18" s="531"/>
      <c r="N18" s="531"/>
    </row>
    <row r="19" spans="1:14" ht="12.75" customHeight="1">
      <c r="A19" s="531"/>
      <c r="B19" s="531"/>
      <c r="C19" s="531"/>
      <c r="D19" s="531" t="s">
        <v>252</v>
      </c>
      <c r="E19" s="531" t="s">
        <v>517</v>
      </c>
      <c r="F19" s="531"/>
      <c r="G19" s="531"/>
      <c r="H19" s="531"/>
      <c r="I19" s="531"/>
      <c r="J19" s="531"/>
      <c r="K19" s="531"/>
      <c r="L19" s="531"/>
      <c r="M19" s="531"/>
      <c r="N19" s="531"/>
    </row>
    <row r="20" spans="1:14">
      <c r="A20" s="531"/>
      <c r="B20" s="531"/>
      <c r="C20" s="531"/>
      <c r="D20" s="531" t="s">
        <v>253</v>
      </c>
      <c r="E20" s="531" t="s">
        <v>518</v>
      </c>
      <c r="F20" s="531"/>
      <c r="G20" s="531"/>
      <c r="H20" s="531"/>
      <c r="I20" s="531"/>
      <c r="J20" s="531"/>
      <c r="K20" s="531"/>
      <c r="L20" s="531"/>
      <c r="M20" s="531"/>
      <c r="N20" s="531"/>
    </row>
    <row r="21" spans="1:14">
      <c r="A21" s="531"/>
      <c r="B21" s="531"/>
      <c r="C21" s="531"/>
      <c r="D21" s="531" t="s">
        <v>254</v>
      </c>
      <c r="E21" s="531" t="s">
        <v>519</v>
      </c>
      <c r="F21" s="531"/>
      <c r="G21" s="531"/>
      <c r="H21" s="531"/>
      <c r="I21" s="531"/>
      <c r="J21" s="531"/>
      <c r="K21" s="531"/>
      <c r="L21" s="531"/>
      <c r="M21" s="531"/>
      <c r="N21" s="531"/>
    </row>
    <row r="22" spans="1:14" ht="28.5" customHeight="1">
      <c r="A22" s="531"/>
      <c r="B22" s="531"/>
      <c r="C22" s="531"/>
      <c r="D22" s="531" t="s">
        <v>255</v>
      </c>
      <c r="E22" s="531" t="s">
        <v>108</v>
      </c>
      <c r="F22" s="531"/>
      <c r="G22" s="531"/>
      <c r="H22" s="531"/>
      <c r="I22" s="531"/>
      <c r="J22" s="531"/>
      <c r="K22" s="531"/>
      <c r="L22" s="531"/>
      <c r="M22" s="531"/>
      <c r="N22" s="531"/>
    </row>
    <row r="23" spans="1:14">
      <c r="A23" s="531"/>
      <c r="B23" s="531"/>
      <c r="C23" s="531"/>
      <c r="D23" s="531" t="s">
        <v>256</v>
      </c>
      <c r="E23" s="531" t="s">
        <v>520</v>
      </c>
      <c r="F23" s="531"/>
      <c r="G23" s="531"/>
      <c r="H23" s="531"/>
      <c r="I23" s="531"/>
      <c r="J23" s="531"/>
      <c r="K23" s="531"/>
      <c r="L23" s="531"/>
      <c r="M23" s="531"/>
      <c r="N23" s="531"/>
    </row>
    <row r="24" spans="1:14">
      <c r="A24" s="531"/>
      <c r="B24" s="531"/>
      <c r="C24" s="531"/>
      <c r="D24" s="531" t="s">
        <v>257</v>
      </c>
      <c r="E24" s="531" t="s">
        <v>521</v>
      </c>
      <c r="F24" s="531"/>
      <c r="G24" s="531"/>
      <c r="H24" s="531"/>
      <c r="I24" s="531"/>
      <c r="J24" s="531"/>
      <c r="K24" s="531"/>
      <c r="L24" s="531"/>
      <c r="M24" s="531"/>
      <c r="N24" s="531"/>
    </row>
    <row r="25" spans="1:14">
      <c r="A25" s="531"/>
      <c r="B25" s="531"/>
      <c r="C25" s="531"/>
      <c r="D25" s="531" t="s">
        <v>258</v>
      </c>
      <c r="E25" s="531" t="s">
        <v>522</v>
      </c>
      <c r="F25" s="531"/>
      <c r="G25" s="531"/>
      <c r="H25" s="531"/>
      <c r="I25" s="531"/>
      <c r="J25" s="531"/>
      <c r="K25" s="531"/>
      <c r="L25" s="531"/>
      <c r="M25" s="531"/>
      <c r="N25" s="531"/>
    </row>
    <row r="26" spans="1:14">
      <c r="A26" s="531"/>
      <c r="B26" s="531"/>
      <c r="C26" s="531"/>
      <c r="D26" s="531" t="s">
        <v>259</v>
      </c>
      <c r="E26" s="531" t="s">
        <v>523</v>
      </c>
      <c r="F26" s="531"/>
      <c r="G26" s="531"/>
      <c r="H26" s="531"/>
      <c r="I26" s="531"/>
      <c r="J26" s="531"/>
      <c r="K26" s="531"/>
      <c r="L26" s="531"/>
      <c r="M26" s="531"/>
      <c r="N26" s="531"/>
    </row>
    <row r="27" spans="1:14">
      <c r="A27" s="531"/>
      <c r="B27" s="531"/>
      <c r="C27" s="531"/>
      <c r="D27" s="531" t="s">
        <v>260</v>
      </c>
      <c r="E27" s="531" t="s">
        <v>524</v>
      </c>
      <c r="F27" s="531"/>
      <c r="G27" s="531"/>
      <c r="H27" s="531"/>
      <c r="I27" s="531"/>
      <c r="J27" s="531"/>
      <c r="K27" s="531"/>
      <c r="L27" s="531"/>
      <c r="M27" s="531"/>
      <c r="N27" s="531"/>
    </row>
    <row r="28" spans="1:14" ht="28.5" customHeight="1">
      <c r="A28" s="531"/>
      <c r="B28" s="531"/>
      <c r="C28" s="531"/>
      <c r="D28" s="531" t="s">
        <v>261</v>
      </c>
      <c r="E28" s="531" t="s">
        <v>525</v>
      </c>
      <c r="F28" s="531"/>
      <c r="G28" s="531"/>
      <c r="H28" s="531"/>
      <c r="I28" s="531"/>
      <c r="J28" s="531"/>
      <c r="K28" s="531"/>
      <c r="L28" s="531"/>
      <c r="M28" s="531"/>
      <c r="N28" s="531"/>
    </row>
    <row r="29" spans="1:14" ht="12.75" customHeight="1">
      <c r="A29" s="531"/>
      <c r="B29" s="531"/>
      <c r="C29" s="531"/>
      <c r="D29" s="531" t="s">
        <v>262</v>
      </c>
      <c r="E29" s="531" t="s">
        <v>526</v>
      </c>
      <c r="F29" s="531"/>
      <c r="G29" s="531"/>
      <c r="H29" s="531"/>
      <c r="I29" s="531"/>
      <c r="J29" s="531"/>
      <c r="K29" s="531"/>
      <c r="L29" s="531"/>
      <c r="M29" s="531"/>
      <c r="N29" s="531"/>
    </row>
    <row r="30" spans="1:14" ht="12.75" customHeight="1">
      <c r="A30" s="531"/>
      <c r="B30" s="531"/>
      <c r="C30" s="531"/>
      <c r="D30" s="531" t="s">
        <v>263</v>
      </c>
      <c r="E30" s="531" t="s">
        <v>527</v>
      </c>
      <c r="F30" s="531"/>
      <c r="G30" s="531"/>
      <c r="H30" s="531"/>
      <c r="I30" s="531"/>
      <c r="J30" s="531"/>
      <c r="K30" s="531"/>
      <c r="L30" s="531"/>
      <c r="M30" s="531"/>
      <c r="N30" s="531"/>
    </row>
    <row r="31" spans="1:14" ht="12.75" customHeight="1">
      <c r="A31" s="531"/>
      <c r="B31" s="531"/>
      <c r="C31" s="531"/>
      <c r="D31" s="531" t="s">
        <v>264</v>
      </c>
      <c r="E31" s="531" t="s">
        <v>528</v>
      </c>
      <c r="F31" s="531"/>
      <c r="G31" s="531"/>
      <c r="H31" s="531"/>
      <c r="I31" s="531"/>
      <c r="J31" s="531"/>
      <c r="K31" s="531"/>
      <c r="L31" s="531"/>
      <c r="M31" s="531"/>
      <c r="N31" s="531"/>
    </row>
    <row r="32" spans="1:14">
      <c r="A32" s="531"/>
      <c r="B32" s="531"/>
      <c r="C32" s="531"/>
      <c r="D32" s="531" t="s">
        <v>265</v>
      </c>
      <c r="E32" s="531" t="s">
        <v>529</v>
      </c>
      <c r="F32" s="531"/>
      <c r="G32" s="531"/>
      <c r="H32" s="531"/>
      <c r="I32" s="531"/>
      <c r="J32" s="531"/>
      <c r="K32" s="531"/>
      <c r="L32" s="531"/>
      <c r="M32" s="531"/>
      <c r="N32" s="531"/>
    </row>
    <row r="33" spans="1:14">
      <c r="A33" s="531"/>
      <c r="B33" s="531"/>
      <c r="C33" s="531"/>
      <c r="D33" s="531" t="s">
        <v>266</v>
      </c>
      <c r="E33" s="531" t="s">
        <v>530</v>
      </c>
      <c r="F33" s="531"/>
      <c r="G33" s="531"/>
      <c r="H33" s="531"/>
      <c r="I33" s="531"/>
      <c r="J33" s="531"/>
      <c r="K33" s="531"/>
      <c r="L33" s="531"/>
      <c r="M33" s="531"/>
      <c r="N33" s="531"/>
    </row>
    <row r="34" spans="1:14" ht="28.5" customHeight="1">
      <c r="A34" s="531"/>
      <c r="B34" s="531"/>
      <c r="C34" s="531"/>
      <c r="D34" s="531" t="s">
        <v>267</v>
      </c>
      <c r="E34" s="531" t="s">
        <v>531</v>
      </c>
      <c r="F34" s="531"/>
      <c r="G34" s="531"/>
      <c r="H34" s="531"/>
      <c r="I34" s="531"/>
      <c r="J34" s="531"/>
      <c r="K34" s="531"/>
      <c r="L34" s="531"/>
      <c r="M34" s="531"/>
      <c r="N34" s="531"/>
    </row>
    <row r="35" spans="1:14" ht="12.75" customHeight="1">
      <c r="A35" s="531"/>
      <c r="B35" s="531"/>
      <c r="C35" s="531"/>
      <c r="D35" s="531" t="s">
        <v>268</v>
      </c>
      <c r="E35" s="531" t="s">
        <v>532</v>
      </c>
      <c r="F35" s="531"/>
      <c r="G35" s="531"/>
      <c r="H35" s="531"/>
      <c r="I35" s="531"/>
      <c r="J35" s="531"/>
      <c r="K35" s="531"/>
      <c r="L35" s="531"/>
      <c r="M35" s="531"/>
      <c r="N35" s="531"/>
    </row>
    <row r="36" spans="1:14" ht="12.75" customHeight="1">
      <c r="A36" s="531"/>
      <c r="B36" s="531"/>
      <c r="C36" s="531"/>
      <c r="D36" s="531" t="s">
        <v>269</v>
      </c>
      <c r="E36" s="531" t="s">
        <v>533</v>
      </c>
      <c r="F36" s="531"/>
      <c r="G36" s="531"/>
      <c r="H36" s="531"/>
      <c r="I36" s="531"/>
      <c r="J36" s="531"/>
      <c r="K36" s="531"/>
      <c r="L36" s="531"/>
      <c r="M36" s="531"/>
      <c r="N36" s="531"/>
    </row>
    <row r="37" spans="1:14" ht="12.75" customHeight="1">
      <c r="A37" s="531"/>
      <c r="B37" s="531"/>
      <c r="C37" s="531"/>
      <c r="D37" s="531" t="s">
        <v>270</v>
      </c>
      <c r="E37" s="531" t="s">
        <v>534</v>
      </c>
      <c r="F37" s="531"/>
      <c r="G37" s="531"/>
      <c r="H37" s="531"/>
      <c r="I37" s="531"/>
      <c r="J37" s="531"/>
      <c r="K37" s="531"/>
      <c r="L37" s="531"/>
      <c r="M37" s="531"/>
      <c r="N37" s="531"/>
    </row>
    <row r="38" spans="1:14">
      <c r="A38" s="531"/>
      <c r="B38" s="531"/>
      <c r="C38" s="531"/>
      <c r="D38" s="531" t="s">
        <v>271</v>
      </c>
      <c r="E38" s="531" t="s">
        <v>535</v>
      </c>
      <c r="F38" s="531"/>
      <c r="G38" s="531"/>
      <c r="H38" s="531"/>
      <c r="I38" s="531"/>
      <c r="J38" s="531"/>
      <c r="K38" s="531"/>
      <c r="L38" s="531"/>
      <c r="M38" s="531"/>
      <c r="N38" s="531"/>
    </row>
    <row r="39" spans="1:14">
      <c r="A39" s="531"/>
      <c r="B39" s="531"/>
      <c r="C39" s="531"/>
      <c r="D39" s="531" t="s">
        <v>272</v>
      </c>
      <c r="E39" s="531" t="s">
        <v>536</v>
      </c>
      <c r="F39" s="531"/>
      <c r="G39" s="531"/>
      <c r="H39" s="531"/>
      <c r="I39" s="531"/>
      <c r="J39" s="531"/>
      <c r="K39" s="531"/>
      <c r="L39" s="531"/>
      <c r="M39" s="531"/>
      <c r="N39" s="531"/>
    </row>
    <row r="40" spans="1:14" ht="28.5" customHeight="1">
      <c r="A40" s="531"/>
      <c r="B40" s="531"/>
      <c r="C40" s="531"/>
      <c r="D40" s="531" t="s">
        <v>273</v>
      </c>
      <c r="E40" s="531" t="s">
        <v>537</v>
      </c>
      <c r="F40" s="531"/>
      <c r="G40" s="531"/>
      <c r="H40" s="531"/>
      <c r="I40" s="531"/>
      <c r="J40" s="531"/>
      <c r="K40" s="531"/>
      <c r="L40" s="531"/>
      <c r="M40" s="531"/>
      <c r="N40" s="531"/>
    </row>
    <row r="41" spans="1:14" ht="12.75" customHeight="1">
      <c r="A41" s="531"/>
      <c r="B41" s="531"/>
      <c r="C41" s="531"/>
      <c r="D41" s="531" t="s">
        <v>274</v>
      </c>
      <c r="E41" s="531" t="s">
        <v>538</v>
      </c>
      <c r="F41" s="531"/>
      <c r="G41" s="531"/>
      <c r="H41" s="531"/>
      <c r="I41" s="531"/>
      <c r="J41" s="531"/>
      <c r="K41" s="531"/>
      <c r="L41" s="531"/>
      <c r="M41" s="531"/>
      <c r="N41" s="531"/>
    </row>
    <row r="42" spans="1:14" ht="12.75" customHeight="1">
      <c r="A42" s="531"/>
      <c r="B42" s="531"/>
      <c r="C42" s="531"/>
      <c r="D42" s="531" t="s">
        <v>275</v>
      </c>
      <c r="E42" s="531" t="s">
        <v>539</v>
      </c>
      <c r="F42" s="531"/>
      <c r="G42" s="531"/>
      <c r="H42" s="531"/>
      <c r="I42" s="531"/>
      <c r="J42" s="531"/>
      <c r="K42" s="531"/>
      <c r="L42" s="531"/>
      <c r="M42" s="531"/>
      <c r="N42" s="531"/>
    </row>
    <row r="43" spans="1:14" ht="12.75" customHeight="1">
      <c r="A43" s="531"/>
      <c r="B43" s="531"/>
      <c r="C43" s="531"/>
      <c r="D43" s="531" t="s">
        <v>276</v>
      </c>
      <c r="E43" s="531" t="s">
        <v>540</v>
      </c>
      <c r="F43" s="531"/>
      <c r="G43" s="531"/>
      <c r="H43" s="531"/>
      <c r="I43" s="531"/>
      <c r="J43" s="531"/>
      <c r="K43" s="531"/>
      <c r="L43" s="531"/>
      <c r="M43" s="531"/>
      <c r="N43" s="531"/>
    </row>
    <row r="44" spans="1:14">
      <c r="A44" s="531"/>
      <c r="B44" s="531"/>
      <c r="C44" s="531"/>
      <c r="D44" s="531"/>
      <c r="E44" s="531" t="s">
        <v>541</v>
      </c>
      <c r="F44" s="531"/>
      <c r="G44" s="531"/>
      <c r="H44" s="531"/>
      <c r="I44" s="531"/>
      <c r="J44" s="531"/>
      <c r="K44" s="531"/>
      <c r="L44" s="531"/>
      <c r="M44" s="531"/>
      <c r="N44" s="531"/>
    </row>
    <row r="45" spans="1:14">
      <c r="A45" s="531"/>
      <c r="B45" s="531"/>
      <c r="C45" s="531"/>
      <c r="D45" s="531"/>
      <c r="E45" s="531" t="s">
        <v>542</v>
      </c>
      <c r="F45" s="531"/>
      <c r="G45" s="531"/>
      <c r="H45" s="531"/>
      <c r="I45" s="531"/>
      <c r="J45" s="531"/>
      <c r="K45" s="531"/>
      <c r="L45" s="531"/>
      <c r="M45" s="531"/>
      <c r="N45" s="531"/>
    </row>
    <row r="46" spans="1:14" ht="28.5" customHeight="1">
      <c r="A46" s="531"/>
      <c r="B46" s="531"/>
      <c r="C46" s="531"/>
      <c r="D46" s="531"/>
      <c r="E46" s="531" t="s">
        <v>543</v>
      </c>
      <c r="F46" s="531"/>
      <c r="G46" s="531"/>
      <c r="H46" s="531"/>
      <c r="I46" s="531"/>
      <c r="J46" s="531"/>
      <c r="K46" s="531"/>
      <c r="L46" s="531"/>
      <c r="M46" s="531"/>
      <c r="N46" s="531"/>
    </row>
    <row r="47" spans="1:14">
      <c r="A47" s="531"/>
      <c r="B47" s="531"/>
      <c r="C47" s="531"/>
      <c r="D47" s="531"/>
      <c r="E47" s="531" t="s">
        <v>544</v>
      </c>
      <c r="F47" s="531"/>
      <c r="G47" s="531"/>
      <c r="H47" s="531"/>
      <c r="I47" s="531"/>
      <c r="J47" s="531"/>
      <c r="K47" s="531"/>
      <c r="L47" s="531"/>
      <c r="M47" s="531"/>
      <c r="N47" s="531"/>
    </row>
    <row r="48" spans="1:14">
      <c r="A48" s="531"/>
      <c r="B48" s="531"/>
      <c r="C48" s="531"/>
      <c r="D48" s="531"/>
      <c r="E48" s="531" t="s">
        <v>545</v>
      </c>
      <c r="F48" s="531"/>
      <c r="G48" s="531"/>
      <c r="H48" s="531"/>
      <c r="I48" s="531"/>
      <c r="J48" s="531"/>
      <c r="K48" s="531"/>
      <c r="L48" s="531"/>
      <c r="M48" s="531"/>
      <c r="N48" s="531"/>
    </row>
    <row r="49" spans="1:14">
      <c r="A49" s="531"/>
      <c r="B49" s="531"/>
      <c r="C49" s="531"/>
      <c r="D49" s="531"/>
      <c r="E49" s="531" t="s">
        <v>546</v>
      </c>
      <c r="F49" s="531"/>
      <c r="G49" s="531"/>
      <c r="H49" s="531"/>
      <c r="I49" s="531"/>
      <c r="J49" s="531"/>
      <c r="K49" s="531"/>
      <c r="L49" s="531"/>
      <c r="M49" s="531"/>
      <c r="N49" s="531"/>
    </row>
    <row r="50" spans="1:14">
      <c r="A50" s="531"/>
      <c r="B50" s="531"/>
      <c r="C50" s="531"/>
      <c r="D50" s="531"/>
      <c r="E50" s="531" t="s">
        <v>547</v>
      </c>
      <c r="F50" s="531"/>
      <c r="G50" s="531"/>
      <c r="H50" s="531"/>
      <c r="I50" s="531"/>
      <c r="J50" s="531"/>
      <c r="K50" s="531"/>
      <c r="L50" s="531"/>
      <c r="M50" s="531"/>
      <c r="N50" s="531"/>
    </row>
    <row r="51" spans="1:14">
      <c r="A51" s="531"/>
      <c r="B51" s="531"/>
      <c r="C51" s="531"/>
      <c r="D51" s="531"/>
      <c r="E51" s="531" t="s">
        <v>548</v>
      </c>
      <c r="F51" s="531"/>
      <c r="G51" s="531"/>
      <c r="H51" s="531"/>
      <c r="I51" s="531"/>
      <c r="J51" s="531"/>
      <c r="K51" s="531"/>
      <c r="L51" s="531"/>
      <c r="M51" s="531"/>
      <c r="N51" s="531"/>
    </row>
    <row r="52" spans="1:14" ht="14.25" customHeight="1">
      <c r="A52" s="531"/>
      <c r="B52" s="531"/>
      <c r="C52" s="531"/>
      <c r="D52" s="531"/>
      <c r="E52" s="531" t="s">
        <v>549</v>
      </c>
      <c r="F52" s="531"/>
      <c r="G52" s="531"/>
      <c r="H52" s="531"/>
      <c r="I52" s="531"/>
      <c r="J52" s="531"/>
      <c r="K52" s="531"/>
      <c r="L52" s="531"/>
      <c r="M52" s="531"/>
      <c r="N52" s="531"/>
    </row>
    <row r="53" spans="1:14" ht="12.75" customHeight="1">
      <c r="A53" s="531"/>
      <c r="B53" s="531"/>
      <c r="C53" s="531"/>
      <c r="D53" s="531"/>
      <c r="E53" s="531" t="s">
        <v>550</v>
      </c>
      <c r="F53" s="531"/>
      <c r="G53" s="531"/>
      <c r="H53" s="531"/>
      <c r="I53" s="531"/>
      <c r="J53" s="531"/>
      <c r="K53" s="531"/>
      <c r="L53" s="531"/>
      <c r="M53" s="531"/>
      <c r="N53" s="531"/>
    </row>
    <row r="54" spans="1:14" ht="12.75" customHeight="1">
      <c r="A54" s="531"/>
      <c r="B54" s="531"/>
      <c r="C54" s="531"/>
      <c r="D54" s="531"/>
      <c r="E54" s="531" t="s">
        <v>551</v>
      </c>
      <c r="F54" s="531"/>
      <c r="G54" s="531"/>
      <c r="H54" s="531"/>
      <c r="I54" s="531"/>
      <c r="J54" s="531"/>
      <c r="K54" s="531"/>
      <c r="L54" s="531"/>
      <c r="M54" s="531"/>
      <c r="N54" s="531"/>
    </row>
    <row r="55" spans="1:14" ht="12.75" customHeight="1">
      <c r="A55" s="531"/>
      <c r="B55" s="531"/>
      <c r="C55" s="531"/>
      <c r="D55" s="531"/>
      <c r="E55" s="531" t="s">
        <v>552</v>
      </c>
      <c r="F55" s="531"/>
      <c r="G55" s="531"/>
      <c r="H55" s="531"/>
      <c r="I55" s="531"/>
      <c r="J55" s="531"/>
      <c r="K55" s="531"/>
      <c r="L55" s="531"/>
      <c r="M55" s="531"/>
      <c r="N55" s="531"/>
    </row>
    <row r="56" spans="1:14">
      <c r="A56" s="531"/>
      <c r="B56" s="531"/>
      <c r="C56" s="531"/>
      <c r="D56" s="531"/>
      <c r="E56" s="531" t="s">
        <v>553</v>
      </c>
      <c r="F56" s="531"/>
      <c r="G56" s="531"/>
      <c r="H56" s="531"/>
      <c r="I56" s="531"/>
      <c r="J56" s="531"/>
      <c r="K56" s="531"/>
      <c r="L56" s="531"/>
      <c r="M56" s="531"/>
      <c r="N56" s="531"/>
    </row>
    <row r="57" spans="1:14">
      <c r="A57" s="531"/>
      <c r="B57" s="531"/>
      <c r="C57" s="531"/>
      <c r="D57" s="531"/>
      <c r="E57" s="531" t="s">
        <v>554</v>
      </c>
      <c r="F57" s="531"/>
      <c r="G57" s="531"/>
      <c r="H57" s="531"/>
      <c r="I57" s="531"/>
      <c r="J57" s="531"/>
      <c r="K57" s="531"/>
      <c r="L57" s="531"/>
      <c r="M57" s="531"/>
      <c r="N57" s="531"/>
    </row>
    <row r="58" spans="1:14" ht="28.5" customHeight="1">
      <c r="A58" s="531"/>
      <c r="B58" s="531"/>
      <c r="C58" s="531"/>
      <c r="D58" s="531"/>
      <c r="E58" s="531" t="s">
        <v>555</v>
      </c>
      <c r="F58" s="531"/>
      <c r="G58" s="531"/>
      <c r="H58" s="531"/>
      <c r="I58" s="531"/>
      <c r="J58" s="531"/>
      <c r="K58" s="531"/>
      <c r="L58" s="531"/>
      <c r="M58" s="531"/>
      <c r="N58" s="531"/>
    </row>
    <row r="59" spans="1:14" ht="12.75" customHeight="1">
      <c r="A59" s="531"/>
      <c r="B59" s="531"/>
      <c r="C59" s="531"/>
      <c r="D59" s="531"/>
      <c r="E59" s="531" t="s">
        <v>556</v>
      </c>
      <c r="F59" s="531"/>
      <c r="G59" s="531"/>
      <c r="H59" s="531"/>
      <c r="I59" s="531"/>
      <c r="J59" s="531"/>
      <c r="K59" s="531"/>
      <c r="L59" s="531"/>
      <c r="M59" s="531"/>
      <c r="N59" s="531"/>
    </row>
    <row r="60" spans="1:14" ht="12.75" customHeight="1">
      <c r="A60" s="531"/>
      <c r="B60" s="531"/>
      <c r="C60" s="531"/>
      <c r="D60" s="531"/>
      <c r="E60" s="531" t="s">
        <v>557</v>
      </c>
      <c r="F60" s="531"/>
      <c r="G60" s="531"/>
      <c r="H60" s="531"/>
      <c r="I60" s="531"/>
      <c r="J60" s="531"/>
      <c r="K60" s="531"/>
      <c r="L60" s="531"/>
      <c r="M60" s="531"/>
      <c r="N60" s="531"/>
    </row>
    <row r="61" spans="1:14" ht="12.75" customHeight="1">
      <c r="A61" s="531"/>
      <c r="B61" s="531"/>
      <c r="C61" s="531"/>
      <c r="D61" s="531"/>
      <c r="E61" s="531" t="s">
        <v>558</v>
      </c>
      <c r="F61" s="531"/>
      <c r="G61" s="531"/>
      <c r="H61" s="531"/>
      <c r="I61" s="531"/>
      <c r="J61" s="531"/>
      <c r="K61" s="531"/>
      <c r="L61" s="531"/>
      <c r="M61" s="531"/>
      <c r="N61" s="531"/>
    </row>
    <row r="62" spans="1:14">
      <c r="A62" s="531"/>
      <c r="B62" s="531"/>
      <c r="C62" s="531"/>
      <c r="D62" s="531"/>
      <c r="E62" s="531" t="s">
        <v>559</v>
      </c>
      <c r="F62" s="531"/>
      <c r="G62" s="531"/>
      <c r="H62" s="531"/>
      <c r="I62" s="531"/>
      <c r="J62" s="531"/>
      <c r="K62" s="531"/>
      <c r="L62" s="531"/>
      <c r="M62" s="531"/>
      <c r="N62" s="531"/>
    </row>
    <row r="63" spans="1:14">
      <c r="A63" s="531"/>
      <c r="B63" s="531"/>
      <c r="C63" s="531"/>
      <c r="D63" s="531"/>
      <c r="E63" s="531" t="s">
        <v>560</v>
      </c>
      <c r="F63" s="531"/>
      <c r="G63" s="531"/>
      <c r="H63" s="531"/>
      <c r="I63" s="531"/>
      <c r="J63" s="531"/>
      <c r="K63" s="531"/>
      <c r="L63" s="531"/>
      <c r="M63" s="531"/>
      <c r="N63" s="531"/>
    </row>
    <row r="64" spans="1:14" ht="28.5" customHeight="1">
      <c r="A64" s="531"/>
      <c r="B64" s="531"/>
      <c r="C64" s="531"/>
      <c r="D64" s="531"/>
      <c r="E64" s="531" t="s">
        <v>561</v>
      </c>
      <c r="F64" s="531"/>
      <c r="G64" s="531"/>
      <c r="H64" s="531"/>
      <c r="I64" s="531"/>
      <c r="J64" s="531"/>
      <c r="K64" s="531"/>
      <c r="L64" s="531"/>
      <c r="M64" s="531"/>
      <c r="N64" s="531"/>
    </row>
    <row r="65" spans="1:14">
      <c r="A65" s="531"/>
      <c r="B65" s="531"/>
      <c r="C65" s="531"/>
      <c r="D65" s="531"/>
      <c r="E65" s="531" t="s">
        <v>562</v>
      </c>
      <c r="F65" s="531"/>
      <c r="G65" s="531"/>
      <c r="H65" s="531"/>
      <c r="I65" s="531"/>
      <c r="J65" s="531"/>
      <c r="K65" s="531"/>
      <c r="L65" s="531"/>
      <c r="M65" s="531"/>
      <c r="N65" s="531"/>
    </row>
    <row r="66" spans="1:14">
      <c r="A66" s="531"/>
      <c r="B66" s="531"/>
      <c r="C66" s="531"/>
      <c r="D66" s="531"/>
      <c r="E66" s="531" t="s">
        <v>563</v>
      </c>
      <c r="F66" s="531"/>
      <c r="G66" s="531"/>
      <c r="H66" s="531"/>
      <c r="I66" s="531"/>
      <c r="J66" s="531"/>
      <c r="K66" s="531"/>
      <c r="L66" s="531"/>
      <c r="M66" s="531"/>
      <c r="N66" s="531"/>
    </row>
    <row r="67" spans="1:14">
      <c r="A67" s="531"/>
      <c r="B67" s="531"/>
      <c r="C67" s="531"/>
      <c r="D67" s="531"/>
      <c r="E67" s="531" t="s">
        <v>564</v>
      </c>
      <c r="F67" s="531"/>
      <c r="G67" s="531"/>
      <c r="H67" s="531"/>
      <c r="I67" s="531"/>
      <c r="J67" s="531"/>
      <c r="K67" s="531"/>
      <c r="L67" s="531"/>
      <c r="M67" s="531"/>
      <c r="N67" s="531"/>
    </row>
    <row r="68" spans="1:14">
      <c r="A68" s="531"/>
      <c r="B68" s="531"/>
      <c r="C68" s="531"/>
      <c r="D68" s="531"/>
      <c r="E68" s="531" t="s">
        <v>565</v>
      </c>
      <c r="F68" s="531"/>
      <c r="G68" s="531"/>
      <c r="H68" s="531"/>
      <c r="I68" s="531"/>
      <c r="J68" s="531"/>
      <c r="K68" s="531"/>
      <c r="L68" s="531"/>
      <c r="M68" s="531"/>
      <c r="N68" s="531"/>
    </row>
    <row r="69" spans="1:14">
      <c r="A69" s="531"/>
      <c r="B69" s="531"/>
      <c r="C69" s="531"/>
      <c r="D69" s="531"/>
      <c r="E69" s="531" t="s">
        <v>566</v>
      </c>
      <c r="F69" s="531"/>
      <c r="G69" s="531"/>
      <c r="H69" s="531"/>
      <c r="I69" s="531"/>
      <c r="J69" s="531"/>
      <c r="K69" s="531"/>
      <c r="L69" s="531"/>
      <c r="M69" s="531"/>
      <c r="N69" s="531"/>
    </row>
    <row r="70" spans="1:14" ht="14.25" customHeight="1">
      <c r="A70" s="531"/>
      <c r="B70" s="531"/>
      <c r="C70" s="531"/>
      <c r="D70" s="531"/>
      <c r="E70" s="531" t="s">
        <v>567</v>
      </c>
      <c r="F70" s="531"/>
      <c r="G70" s="531"/>
      <c r="H70" s="531"/>
      <c r="I70" s="531"/>
      <c r="J70" s="531"/>
      <c r="K70" s="531"/>
      <c r="L70" s="531"/>
      <c r="M70" s="531"/>
      <c r="N70" s="531"/>
    </row>
    <row r="71" spans="1:14" ht="12.75" customHeight="1">
      <c r="A71" s="531"/>
      <c r="B71" s="531"/>
      <c r="C71" s="531"/>
      <c r="D71" s="531"/>
      <c r="E71" s="531" t="s">
        <v>568</v>
      </c>
      <c r="F71" s="531"/>
      <c r="G71" s="531"/>
      <c r="H71" s="531"/>
      <c r="I71" s="531"/>
      <c r="J71" s="531"/>
      <c r="K71" s="531"/>
      <c r="L71" s="531"/>
      <c r="M71" s="531"/>
      <c r="N71" s="531"/>
    </row>
    <row r="72" spans="1:14" ht="12.75" customHeight="1">
      <c r="A72" s="531"/>
      <c r="B72" s="531"/>
      <c r="C72" s="531"/>
      <c r="D72" s="531"/>
      <c r="E72" s="531" t="s">
        <v>569</v>
      </c>
      <c r="F72" s="531"/>
      <c r="G72" s="531"/>
      <c r="H72" s="531"/>
      <c r="I72" s="531"/>
      <c r="J72" s="531"/>
      <c r="K72" s="531"/>
      <c r="L72" s="531"/>
      <c r="M72" s="531"/>
      <c r="N72" s="531"/>
    </row>
    <row r="73" spans="1:14" ht="12.75" customHeight="1">
      <c r="A73" s="531"/>
      <c r="B73" s="531"/>
      <c r="C73" s="531"/>
      <c r="D73" s="531"/>
      <c r="E73" s="531" t="s">
        <v>570</v>
      </c>
      <c r="F73" s="531"/>
      <c r="G73" s="531"/>
      <c r="H73" s="531"/>
      <c r="I73" s="531"/>
      <c r="J73" s="531"/>
      <c r="K73" s="531"/>
      <c r="L73" s="531"/>
      <c r="M73" s="531"/>
      <c r="N73" s="531"/>
    </row>
    <row r="74" spans="1:14">
      <c r="A74" s="531"/>
      <c r="B74" s="531"/>
      <c r="C74" s="531"/>
      <c r="D74" s="531"/>
      <c r="E74" s="531" t="s">
        <v>571</v>
      </c>
      <c r="F74" s="531"/>
      <c r="G74" s="531"/>
      <c r="H74" s="531"/>
      <c r="I74" s="531"/>
      <c r="J74" s="531"/>
      <c r="K74" s="531"/>
      <c r="L74" s="531"/>
      <c r="M74" s="531"/>
      <c r="N74" s="531"/>
    </row>
    <row r="75" spans="1:14">
      <c r="A75" s="531"/>
      <c r="B75" s="531"/>
      <c r="C75" s="531"/>
      <c r="D75" s="531"/>
      <c r="E75" s="531" t="s">
        <v>572</v>
      </c>
      <c r="F75" s="531"/>
      <c r="G75" s="531"/>
      <c r="H75" s="531"/>
      <c r="I75" s="531"/>
      <c r="J75" s="531"/>
      <c r="K75" s="531"/>
      <c r="L75" s="531"/>
      <c r="M75" s="531"/>
      <c r="N75" s="531"/>
    </row>
    <row r="76" spans="1:14">
      <c r="A76" s="531"/>
      <c r="B76" s="531"/>
      <c r="C76" s="531"/>
      <c r="D76" s="531"/>
      <c r="E76" s="531" t="s">
        <v>573</v>
      </c>
      <c r="F76" s="531"/>
      <c r="G76" s="531"/>
      <c r="H76" s="531"/>
      <c r="I76" s="531"/>
      <c r="J76" s="531"/>
      <c r="K76" s="531"/>
      <c r="L76" s="531"/>
      <c r="M76" s="531"/>
      <c r="N76" s="531"/>
    </row>
    <row r="77" spans="1:14">
      <c r="A77" s="531"/>
      <c r="B77" s="531"/>
      <c r="C77" s="531"/>
      <c r="D77" s="531"/>
      <c r="E77" s="531" t="s">
        <v>574</v>
      </c>
      <c r="F77" s="531"/>
      <c r="G77" s="531"/>
      <c r="H77" s="531"/>
      <c r="I77" s="531"/>
      <c r="J77" s="531"/>
      <c r="K77" s="531"/>
      <c r="L77" s="531"/>
      <c r="M77" s="531"/>
      <c r="N77" s="531"/>
    </row>
    <row r="78" spans="1:14">
      <c r="A78" s="531"/>
      <c r="B78" s="531"/>
      <c r="C78" s="531"/>
      <c r="D78" s="531"/>
      <c r="E78" s="531" t="s">
        <v>575</v>
      </c>
      <c r="F78" s="531"/>
      <c r="G78" s="531"/>
      <c r="H78" s="531"/>
      <c r="I78" s="531"/>
      <c r="J78" s="531"/>
      <c r="K78" s="531"/>
      <c r="L78" s="531"/>
      <c r="M78" s="531"/>
      <c r="N78" s="531"/>
    </row>
    <row r="79" spans="1:14">
      <c r="A79" s="531"/>
      <c r="B79" s="531"/>
      <c r="C79" s="531"/>
      <c r="D79" s="531"/>
      <c r="E79" s="531" t="s">
        <v>576</v>
      </c>
      <c r="F79" s="531"/>
      <c r="G79" s="531"/>
      <c r="H79" s="531"/>
      <c r="I79" s="531"/>
      <c r="J79" s="531"/>
      <c r="K79" s="531"/>
      <c r="L79" s="531"/>
      <c r="M79" s="531"/>
      <c r="N79" s="531"/>
    </row>
    <row r="80" spans="1:14">
      <c r="A80" s="531"/>
      <c r="B80" s="531"/>
      <c r="C80" s="531"/>
      <c r="D80" s="531"/>
      <c r="E80" s="531" t="s">
        <v>577</v>
      </c>
      <c r="F80" s="531"/>
      <c r="G80" s="531"/>
      <c r="H80" s="531"/>
      <c r="I80" s="531"/>
      <c r="J80" s="531"/>
      <c r="K80" s="531"/>
      <c r="L80" s="531"/>
      <c r="M80" s="531"/>
      <c r="N80" s="531"/>
    </row>
    <row r="81" spans="1:14">
      <c r="A81" s="531"/>
      <c r="B81" s="531"/>
      <c r="C81" s="531"/>
      <c r="D81" s="531"/>
      <c r="E81" s="531" t="s">
        <v>578</v>
      </c>
      <c r="F81" s="531"/>
      <c r="G81" s="531"/>
      <c r="H81" s="531"/>
      <c r="I81" s="531"/>
      <c r="J81" s="531"/>
      <c r="K81" s="531"/>
      <c r="L81" s="531"/>
      <c r="M81" s="531"/>
      <c r="N81" s="531"/>
    </row>
    <row r="82" spans="1:14">
      <c r="A82" s="531"/>
      <c r="B82" s="531"/>
      <c r="C82" s="531"/>
      <c r="D82" s="531"/>
      <c r="E82" s="531" t="s">
        <v>579</v>
      </c>
      <c r="F82" s="531"/>
      <c r="G82" s="531"/>
      <c r="H82" s="531"/>
      <c r="I82" s="531"/>
      <c r="J82" s="531"/>
      <c r="K82" s="531"/>
      <c r="L82" s="531"/>
      <c r="M82" s="531"/>
      <c r="N82" s="531"/>
    </row>
    <row r="83" spans="1:14">
      <c r="A83" s="531"/>
      <c r="B83" s="531"/>
      <c r="C83" s="531"/>
      <c r="D83" s="531"/>
      <c r="E83" s="531" t="s">
        <v>580</v>
      </c>
      <c r="F83" s="531"/>
      <c r="G83" s="531"/>
      <c r="H83" s="531"/>
      <c r="I83" s="531"/>
      <c r="J83" s="531"/>
      <c r="K83" s="531"/>
      <c r="L83" s="531"/>
      <c r="M83" s="531"/>
      <c r="N83" s="531"/>
    </row>
    <row r="84" spans="1:14">
      <c r="A84" s="531"/>
      <c r="B84" s="531"/>
      <c r="C84" s="531"/>
      <c r="D84" s="531"/>
      <c r="E84" s="531" t="s">
        <v>581</v>
      </c>
      <c r="F84" s="531"/>
      <c r="G84" s="531"/>
      <c r="H84" s="531"/>
      <c r="I84" s="531"/>
      <c r="J84" s="531"/>
      <c r="K84" s="531"/>
      <c r="L84" s="531"/>
      <c r="M84" s="531"/>
      <c r="N84" s="531"/>
    </row>
    <row r="85" spans="1:14">
      <c r="A85" s="531"/>
      <c r="B85" s="531"/>
      <c r="C85" s="531"/>
      <c r="D85" s="531"/>
      <c r="E85" s="531" t="s">
        <v>582</v>
      </c>
      <c r="F85" s="531"/>
      <c r="G85" s="531"/>
      <c r="H85" s="531"/>
      <c r="I85" s="531"/>
      <c r="J85" s="531"/>
      <c r="K85" s="531"/>
      <c r="L85" s="531"/>
      <c r="M85" s="531"/>
      <c r="N85" s="531"/>
    </row>
    <row r="86" spans="1:14">
      <c r="A86" s="531"/>
      <c r="B86" s="531"/>
      <c r="C86" s="531"/>
      <c r="D86" s="531"/>
      <c r="E86" s="531" t="s">
        <v>583</v>
      </c>
      <c r="F86" s="531"/>
      <c r="G86" s="531"/>
      <c r="H86" s="531"/>
      <c r="I86" s="531"/>
      <c r="J86" s="531"/>
      <c r="K86" s="531"/>
      <c r="L86" s="531"/>
      <c r="M86" s="531"/>
      <c r="N86" s="531"/>
    </row>
    <row r="87" spans="1:14">
      <c r="A87" s="531"/>
      <c r="B87" s="531"/>
      <c r="C87" s="531"/>
      <c r="D87" s="531"/>
      <c r="E87" s="531" t="s">
        <v>584</v>
      </c>
      <c r="F87" s="531"/>
      <c r="G87" s="531"/>
      <c r="H87" s="531"/>
      <c r="I87" s="531"/>
      <c r="J87" s="531"/>
      <c r="K87" s="531"/>
      <c r="L87" s="531"/>
      <c r="M87" s="531"/>
      <c r="N87" s="531"/>
    </row>
    <row r="88" spans="1:14">
      <c r="A88" s="531"/>
      <c r="B88" s="531"/>
      <c r="C88" s="531"/>
      <c r="D88" s="531"/>
      <c r="E88" s="531" t="s">
        <v>585</v>
      </c>
      <c r="F88" s="531"/>
      <c r="G88" s="531"/>
      <c r="H88" s="531"/>
      <c r="I88" s="531"/>
      <c r="J88" s="531"/>
      <c r="K88" s="531"/>
      <c r="L88" s="531"/>
      <c r="M88" s="531"/>
      <c r="N88" s="531"/>
    </row>
    <row r="89" spans="1:14">
      <c r="A89" s="531"/>
      <c r="B89" s="531"/>
      <c r="C89" s="531"/>
      <c r="D89" s="531"/>
      <c r="E89" s="531" t="s">
        <v>586</v>
      </c>
      <c r="F89" s="531"/>
      <c r="G89" s="531"/>
      <c r="H89" s="531"/>
      <c r="I89" s="531"/>
      <c r="J89" s="531"/>
      <c r="K89" s="531"/>
      <c r="L89" s="531"/>
      <c r="M89" s="531"/>
      <c r="N89" s="531"/>
    </row>
    <row r="90" spans="1:14">
      <c r="A90" s="531"/>
      <c r="B90" s="531"/>
      <c r="C90" s="531"/>
      <c r="D90" s="531"/>
      <c r="E90" s="531" t="s">
        <v>587</v>
      </c>
      <c r="F90" s="531"/>
      <c r="G90" s="531"/>
      <c r="H90" s="531"/>
      <c r="I90" s="531"/>
      <c r="J90" s="531"/>
      <c r="K90" s="531"/>
      <c r="L90" s="531"/>
      <c r="M90" s="531"/>
      <c r="N90" s="531"/>
    </row>
    <row r="91" spans="1:14">
      <c r="A91" s="531"/>
      <c r="B91" s="531"/>
      <c r="C91" s="531"/>
      <c r="D91" s="531"/>
      <c r="E91" s="531" t="s">
        <v>588</v>
      </c>
      <c r="F91" s="531"/>
      <c r="G91" s="531"/>
      <c r="H91" s="531"/>
      <c r="I91" s="531"/>
      <c r="J91" s="531"/>
      <c r="K91" s="531"/>
      <c r="L91" s="531"/>
      <c r="M91" s="531"/>
      <c r="N91" s="531"/>
    </row>
    <row r="92" spans="1:14">
      <c r="A92" s="531"/>
      <c r="B92" s="531"/>
      <c r="C92" s="531"/>
      <c r="D92" s="531"/>
      <c r="E92" s="531" t="s">
        <v>589</v>
      </c>
      <c r="F92" s="531"/>
      <c r="G92" s="531"/>
      <c r="H92" s="531"/>
      <c r="I92" s="531"/>
      <c r="J92" s="531"/>
      <c r="K92" s="531"/>
      <c r="L92" s="531"/>
      <c r="M92" s="531"/>
      <c r="N92" s="531"/>
    </row>
    <row r="93" spans="1:14">
      <c r="A93" s="531"/>
      <c r="B93" s="531"/>
      <c r="C93" s="531"/>
      <c r="D93" s="531"/>
      <c r="E93" s="531" t="s">
        <v>590</v>
      </c>
      <c r="F93" s="531"/>
      <c r="G93" s="531"/>
      <c r="H93" s="531"/>
      <c r="I93" s="531"/>
      <c r="J93" s="531"/>
      <c r="K93" s="531"/>
      <c r="L93" s="531"/>
      <c r="M93" s="531"/>
      <c r="N93" s="531"/>
    </row>
    <row r="94" spans="1:14">
      <c r="A94" s="531"/>
      <c r="B94" s="531"/>
      <c r="C94" s="531"/>
      <c r="D94" s="531"/>
      <c r="E94" s="531" t="s">
        <v>494</v>
      </c>
      <c r="F94" s="531"/>
      <c r="G94" s="531"/>
      <c r="H94" s="531"/>
      <c r="I94" s="531"/>
      <c r="J94" s="531"/>
      <c r="K94" s="531"/>
      <c r="L94" s="531"/>
      <c r="M94" s="531"/>
      <c r="N94" s="531"/>
    </row>
    <row r="95" spans="1:14">
      <c r="A95" s="531"/>
      <c r="B95" s="531"/>
      <c r="C95" s="531"/>
      <c r="D95" s="531"/>
      <c r="E95" s="531" t="s">
        <v>591</v>
      </c>
      <c r="F95" s="531"/>
      <c r="G95" s="531"/>
      <c r="H95" s="531"/>
      <c r="I95" s="531"/>
      <c r="J95" s="531"/>
      <c r="K95" s="531"/>
      <c r="L95" s="531"/>
      <c r="M95" s="531"/>
      <c r="N95" s="531"/>
    </row>
    <row r="96" spans="1:14">
      <c r="A96" s="531"/>
      <c r="B96" s="531"/>
      <c r="C96" s="531"/>
      <c r="D96" s="531"/>
      <c r="E96" s="531" t="s">
        <v>592</v>
      </c>
      <c r="F96" s="531"/>
      <c r="G96" s="531"/>
      <c r="H96" s="531"/>
      <c r="I96" s="531"/>
      <c r="J96" s="531"/>
      <c r="K96" s="531"/>
      <c r="L96" s="531"/>
      <c r="M96" s="531"/>
      <c r="N96" s="531"/>
    </row>
    <row r="97" spans="1:14">
      <c r="A97" s="531"/>
      <c r="B97" s="531"/>
      <c r="C97" s="531"/>
      <c r="D97" s="531"/>
      <c r="E97" s="531" t="s">
        <v>593</v>
      </c>
      <c r="F97" s="531"/>
      <c r="G97" s="531"/>
      <c r="H97" s="531"/>
      <c r="I97" s="531"/>
      <c r="J97" s="531"/>
      <c r="K97" s="531"/>
      <c r="L97" s="531"/>
      <c r="M97" s="531"/>
      <c r="N97" s="531"/>
    </row>
    <row r="98" spans="1:14">
      <c r="A98" s="531"/>
      <c r="B98" s="531"/>
      <c r="C98" s="531"/>
      <c r="D98" s="531"/>
      <c r="E98" s="531" t="s">
        <v>594</v>
      </c>
      <c r="F98" s="531"/>
      <c r="G98" s="531"/>
      <c r="H98" s="531"/>
      <c r="I98" s="531"/>
      <c r="J98" s="531"/>
      <c r="K98" s="531"/>
      <c r="L98" s="531"/>
      <c r="M98" s="531"/>
      <c r="N98" s="531"/>
    </row>
    <row r="99" spans="1:14">
      <c r="A99" s="531"/>
      <c r="B99" s="531"/>
      <c r="C99" s="531"/>
      <c r="D99" s="531"/>
      <c r="E99" s="531" t="s">
        <v>595</v>
      </c>
      <c r="F99" s="531"/>
      <c r="G99" s="531"/>
      <c r="H99" s="531"/>
      <c r="I99" s="531"/>
      <c r="J99" s="531"/>
      <c r="K99" s="531"/>
      <c r="L99" s="531"/>
      <c r="M99" s="531"/>
      <c r="N99" s="531"/>
    </row>
    <row r="100" spans="1:14">
      <c r="A100" s="531"/>
      <c r="B100" s="531"/>
      <c r="C100" s="531"/>
      <c r="D100" s="531"/>
      <c r="E100" s="531" t="s">
        <v>596</v>
      </c>
      <c r="F100" s="531"/>
      <c r="G100" s="531"/>
      <c r="H100" s="531"/>
      <c r="I100" s="531"/>
      <c r="J100" s="531"/>
      <c r="K100" s="531"/>
      <c r="L100" s="531"/>
      <c r="M100" s="531"/>
      <c r="N100" s="531"/>
    </row>
    <row r="101" spans="1:14">
      <c r="A101" s="531"/>
      <c r="B101" s="531"/>
      <c r="C101" s="531"/>
      <c r="D101" s="531"/>
      <c r="E101" s="531" t="s">
        <v>597</v>
      </c>
      <c r="F101" s="531"/>
      <c r="G101" s="531"/>
      <c r="H101" s="531"/>
      <c r="I101" s="531"/>
      <c r="J101" s="531"/>
      <c r="K101" s="531"/>
      <c r="L101" s="531"/>
      <c r="M101" s="531"/>
      <c r="N101" s="531"/>
    </row>
    <row r="102" spans="1:14">
      <c r="A102" s="531"/>
      <c r="B102" s="531"/>
      <c r="C102" s="531"/>
      <c r="D102" s="531"/>
      <c r="E102" s="531" t="s">
        <v>598</v>
      </c>
      <c r="F102" s="531"/>
      <c r="G102" s="531"/>
      <c r="H102" s="531"/>
      <c r="I102" s="531"/>
      <c r="J102" s="531"/>
      <c r="K102" s="531"/>
      <c r="L102" s="531"/>
      <c r="M102" s="531"/>
      <c r="N102" s="531"/>
    </row>
    <row r="103" spans="1:14">
      <c r="A103" s="531"/>
      <c r="B103" s="531"/>
      <c r="C103" s="531"/>
      <c r="D103" s="531"/>
      <c r="E103" s="531" t="s">
        <v>497</v>
      </c>
      <c r="F103" s="531"/>
      <c r="G103" s="531"/>
      <c r="H103" s="531"/>
      <c r="I103" s="531"/>
      <c r="J103" s="531"/>
      <c r="K103" s="531"/>
      <c r="L103" s="531"/>
      <c r="M103" s="531"/>
      <c r="N103" s="531"/>
    </row>
    <row r="104" spans="1:14">
      <c r="A104" s="531"/>
      <c r="B104" s="531"/>
      <c r="C104" s="531"/>
      <c r="D104" s="531"/>
      <c r="E104" s="531" t="s">
        <v>599</v>
      </c>
      <c r="F104" s="531"/>
      <c r="G104" s="531"/>
      <c r="H104" s="531"/>
      <c r="I104" s="531"/>
      <c r="J104" s="531"/>
      <c r="K104" s="531"/>
      <c r="L104" s="531"/>
      <c r="M104" s="531"/>
      <c r="N104" s="531"/>
    </row>
    <row r="105" spans="1:14">
      <c r="A105" s="531"/>
      <c r="B105" s="531"/>
      <c r="C105" s="531"/>
      <c r="D105" s="531"/>
      <c r="E105" s="531" t="s">
        <v>600</v>
      </c>
      <c r="F105" s="531"/>
      <c r="G105" s="531"/>
      <c r="H105" s="531"/>
      <c r="I105" s="531"/>
      <c r="J105" s="531"/>
      <c r="K105" s="531"/>
      <c r="L105" s="531"/>
      <c r="M105" s="531"/>
      <c r="N105" s="531"/>
    </row>
    <row r="106" spans="1:14">
      <c r="A106" s="531"/>
      <c r="B106" s="531"/>
      <c r="C106" s="531"/>
      <c r="D106" s="531"/>
      <c r="E106" s="531" t="s">
        <v>601</v>
      </c>
      <c r="F106" s="531"/>
      <c r="G106" s="531"/>
      <c r="H106" s="531"/>
      <c r="I106" s="531"/>
      <c r="J106" s="531"/>
      <c r="K106" s="531"/>
      <c r="L106" s="531"/>
      <c r="M106" s="531"/>
      <c r="N106" s="531"/>
    </row>
    <row r="107" spans="1:14">
      <c r="A107" s="531"/>
      <c r="B107" s="531"/>
      <c r="C107" s="531"/>
      <c r="D107" s="531"/>
      <c r="E107" s="531" t="s">
        <v>602</v>
      </c>
      <c r="F107" s="531"/>
      <c r="G107" s="531"/>
      <c r="H107" s="531"/>
      <c r="I107" s="531"/>
      <c r="J107" s="531"/>
      <c r="K107" s="531"/>
      <c r="L107" s="531"/>
      <c r="M107" s="531"/>
      <c r="N107" s="531"/>
    </row>
    <row r="108" spans="1:14">
      <c r="A108" s="531"/>
      <c r="B108" s="531"/>
      <c r="C108" s="531"/>
      <c r="D108" s="531"/>
      <c r="E108" s="531" t="s">
        <v>603</v>
      </c>
      <c r="F108" s="531"/>
      <c r="G108" s="531"/>
      <c r="H108" s="531"/>
      <c r="I108" s="531"/>
      <c r="J108" s="531"/>
      <c r="K108" s="531"/>
      <c r="L108" s="531"/>
      <c r="M108" s="531"/>
      <c r="N108" s="531"/>
    </row>
    <row r="109" spans="1:14">
      <c r="A109" s="531"/>
      <c r="B109" s="531"/>
      <c r="C109" s="531"/>
      <c r="D109" s="531"/>
      <c r="E109" s="531" t="s">
        <v>604</v>
      </c>
      <c r="F109" s="531"/>
      <c r="G109" s="531"/>
      <c r="H109" s="531"/>
      <c r="I109" s="531"/>
      <c r="J109" s="531"/>
      <c r="K109" s="531"/>
      <c r="L109" s="531"/>
      <c r="M109" s="531"/>
      <c r="N109" s="531"/>
    </row>
    <row r="110" spans="1:14">
      <c r="A110" s="531"/>
      <c r="B110" s="531"/>
      <c r="C110" s="531"/>
      <c r="D110" s="531"/>
      <c r="E110" s="531" t="s">
        <v>605</v>
      </c>
      <c r="F110" s="531"/>
      <c r="G110" s="531"/>
      <c r="H110" s="531"/>
      <c r="I110" s="531"/>
      <c r="J110" s="531"/>
      <c r="K110" s="531"/>
      <c r="L110" s="531"/>
      <c r="M110" s="531"/>
      <c r="N110" s="531"/>
    </row>
    <row r="111" spans="1:14">
      <c r="A111" s="531"/>
      <c r="B111" s="531"/>
      <c r="C111" s="531"/>
      <c r="D111" s="531"/>
      <c r="E111" s="531" t="s">
        <v>606</v>
      </c>
      <c r="F111" s="531"/>
      <c r="G111" s="531"/>
      <c r="H111" s="531"/>
      <c r="I111" s="531"/>
      <c r="J111" s="531"/>
      <c r="K111" s="531"/>
      <c r="L111" s="531"/>
      <c r="M111" s="531"/>
      <c r="N111" s="531"/>
    </row>
    <row r="112" spans="1:14">
      <c r="A112" s="531"/>
      <c r="B112" s="531"/>
      <c r="C112" s="531"/>
      <c r="D112" s="531"/>
      <c r="E112" s="531" t="s">
        <v>607</v>
      </c>
      <c r="F112" s="531"/>
      <c r="G112" s="531"/>
      <c r="H112" s="531"/>
      <c r="I112" s="531"/>
      <c r="J112" s="531"/>
      <c r="K112" s="531"/>
      <c r="L112" s="531"/>
      <c r="M112" s="531"/>
      <c r="N112" s="531"/>
    </row>
    <row r="113" spans="1:14">
      <c r="A113" s="531"/>
      <c r="B113" s="531"/>
      <c r="C113" s="531"/>
      <c r="D113" s="531"/>
      <c r="E113" s="531" t="s">
        <v>608</v>
      </c>
      <c r="F113" s="531"/>
      <c r="G113" s="531"/>
      <c r="H113" s="531"/>
      <c r="I113" s="531"/>
      <c r="J113" s="531"/>
      <c r="K113" s="531"/>
      <c r="L113" s="531"/>
      <c r="M113" s="531"/>
      <c r="N113" s="531"/>
    </row>
    <row r="114" spans="1:14">
      <c r="A114" s="531"/>
      <c r="B114" s="531"/>
      <c r="C114" s="531"/>
      <c r="D114" s="531"/>
      <c r="E114" s="531" t="s">
        <v>609</v>
      </c>
      <c r="F114" s="531"/>
      <c r="G114" s="531"/>
      <c r="H114" s="531"/>
      <c r="I114" s="531"/>
      <c r="J114" s="531"/>
      <c r="K114" s="531"/>
      <c r="L114" s="531"/>
      <c r="M114" s="531"/>
      <c r="N114" s="531"/>
    </row>
    <row r="115" spans="1:14">
      <c r="A115" s="531"/>
      <c r="B115" s="531"/>
      <c r="C115" s="531"/>
      <c r="D115" s="531"/>
      <c r="E115" s="531" t="s">
        <v>610</v>
      </c>
      <c r="F115" s="531"/>
      <c r="G115" s="531"/>
      <c r="H115" s="531"/>
      <c r="I115" s="531"/>
      <c r="J115" s="531"/>
      <c r="K115" s="531"/>
      <c r="L115" s="531"/>
      <c r="M115" s="531"/>
      <c r="N115" s="531"/>
    </row>
    <row r="116" spans="1:14">
      <c r="A116" s="531"/>
      <c r="B116" s="531"/>
      <c r="C116" s="531"/>
      <c r="D116" s="531"/>
      <c r="E116" s="531" t="s">
        <v>611</v>
      </c>
      <c r="F116" s="531"/>
      <c r="G116" s="531"/>
      <c r="H116" s="531"/>
      <c r="I116" s="531"/>
      <c r="J116" s="531"/>
      <c r="K116" s="531"/>
      <c r="L116" s="531"/>
      <c r="M116" s="531"/>
      <c r="N116" s="531"/>
    </row>
    <row r="117" spans="1:14">
      <c r="A117" s="531"/>
      <c r="B117" s="531"/>
      <c r="C117" s="531"/>
      <c r="D117" s="531"/>
      <c r="E117" s="531" t="s">
        <v>612</v>
      </c>
      <c r="F117" s="531"/>
      <c r="G117" s="531"/>
      <c r="H117" s="531"/>
      <c r="I117" s="531"/>
      <c r="J117" s="531"/>
      <c r="K117" s="531"/>
      <c r="L117" s="531"/>
      <c r="M117" s="531"/>
      <c r="N117" s="531"/>
    </row>
    <row r="118" spans="1:14">
      <c r="A118" s="531"/>
      <c r="B118" s="531"/>
      <c r="C118" s="531"/>
      <c r="D118" s="531"/>
      <c r="E118" s="531" t="s">
        <v>613</v>
      </c>
      <c r="F118" s="531"/>
      <c r="G118" s="531"/>
      <c r="H118" s="531"/>
      <c r="I118" s="531"/>
      <c r="J118" s="531"/>
      <c r="K118" s="531"/>
      <c r="L118" s="531"/>
      <c r="M118" s="531"/>
      <c r="N118" s="531"/>
    </row>
    <row r="119" spans="1:14">
      <c r="A119" s="531"/>
      <c r="B119" s="531"/>
      <c r="C119" s="531"/>
      <c r="D119" s="531"/>
      <c r="E119" s="531" t="s">
        <v>614</v>
      </c>
      <c r="F119" s="531"/>
      <c r="G119" s="531"/>
      <c r="H119" s="531"/>
      <c r="I119" s="531"/>
      <c r="J119" s="531"/>
      <c r="K119" s="531"/>
      <c r="L119" s="531"/>
      <c r="M119" s="531"/>
      <c r="N119" s="531"/>
    </row>
    <row r="120" spans="1:14">
      <c r="A120" s="531"/>
      <c r="B120" s="531"/>
      <c r="C120" s="531"/>
      <c r="D120" s="531"/>
      <c r="E120" s="531" t="s">
        <v>615</v>
      </c>
      <c r="F120" s="531"/>
      <c r="G120" s="531"/>
      <c r="H120" s="531"/>
      <c r="I120" s="531"/>
      <c r="J120" s="531"/>
      <c r="K120" s="531"/>
      <c r="L120" s="531"/>
      <c r="M120" s="531"/>
      <c r="N120" s="531"/>
    </row>
    <row r="121" spans="1:14">
      <c r="A121" s="531"/>
      <c r="B121" s="531"/>
      <c r="C121" s="531"/>
      <c r="D121" s="531"/>
      <c r="E121" s="531" t="s">
        <v>499</v>
      </c>
      <c r="F121" s="531"/>
      <c r="G121" s="531"/>
      <c r="H121" s="531"/>
      <c r="I121" s="531"/>
      <c r="J121" s="531"/>
      <c r="K121" s="531"/>
      <c r="L121" s="531"/>
      <c r="M121" s="531"/>
      <c r="N121" s="531"/>
    </row>
    <row r="122" spans="1:14">
      <c r="A122" s="531"/>
      <c r="B122" s="531"/>
      <c r="C122" s="531"/>
      <c r="D122" s="531"/>
      <c r="E122" s="531" t="s">
        <v>616</v>
      </c>
      <c r="F122" s="531"/>
      <c r="G122" s="531"/>
      <c r="H122" s="531"/>
      <c r="I122" s="531"/>
      <c r="J122" s="531"/>
      <c r="K122" s="531"/>
      <c r="L122" s="531"/>
      <c r="M122" s="531"/>
      <c r="N122" s="531"/>
    </row>
    <row r="123" spans="1:14">
      <c r="A123" s="531"/>
      <c r="B123" s="531"/>
      <c r="C123" s="531"/>
      <c r="D123" s="531"/>
      <c r="E123" s="531" t="s">
        <v>617</v>
      </c>
      <c r="F123" s="531"/>
      <c r="G123" s="531"/>
      <c r="H123" s="531"/>
      <c r="I123" s="531"/>
      <c r="J123" s="531"/>
      <c r="K123" s="531"/>
      <c r="L123" s="531"/>
      <c r="M123" s="531"/>
      <c r="N123" s="531"/>
    </row>
    <row r="124" spans="1:14">
      <c r="A124" s="531"/>
      <c r="B124" s="531"/>
      <c r="C124" s="531"/>
      <c r="D124" s="531"/>
      <c r="E124" s="531" t="s">
        <v>618</v>
      </c>
      <c r="F124" s="531"/>
      <c r="G124" s="531"/>
      <c r="H124" s="531"/>
      <c r="I124" s="531"/>
      <c r="J124" s="531"/>
      <c r="K124" s="531"/>
      <c r="L124" s="531"/>
      <c r="M124" s="531"/>
      <c r="N124" s="531"/>
    </row>
    <row r="125" spans="1:14">
      <c r="A125" s="531"/>
      <c r="B125" s="531"/>
      <c r="C125" s="531"/>
      <c r="D125" s="531"/>
      <c r="E125" s="531" t="s">
        <v>619</v>
      </c>
      <c r="F125" s="531"/>
      <c r="G125" s="531"/>
      <c r="H125" s="531"/>
      <c r="I125" s="531"/>
      <c r="J125" s="531"/>
      <c r="K125" s="531"/>
      <c r="L125" s="531"/>
      <c r="M125" s="531"/>
      <c r="N125" s="531"/>
    </row>
    <row r="126" spans="1:14">
      <c r="A126" s="531"/>
      <c r="B126" s="531"/>
      <c r="C126" s="531"/>
      <c r="D126" s="531"/>
      <c r="E126" s="531" t="s">
        <v>620</v>
      </c>
      <c r="F126" s="531"/>
      <c r="G126" s="531"/>
      <c r="H126" s="531"/>
      <c r="I126" s="531"/>
      <c r="J126" s="531"/>
      <c r="K126" s="531"/>
      <c r="L126" s="531"/>
      <c r="M126" s="531"/>
      <c r="N126" s="531"/>
    </row>
    <row r="127" spans="1:14">
      <c r="A127" s="531"/>
      <c r="B127" s="531"/>
      <c r="C127" s="531"/>
      <c r="D127" s="531"/>
      <c r="E127" s="531" t="s">
        <v>621</v>
      </c>
      <c r="F127" s="531"/>
      <c r="G127" s="531"/>
      <c r="H127" s="531"/>
      <c r="I127" s="531"/>
      <c r="J127" s="531"/>
      <c r="K127" s="531"/>
      <c r="L127" s="531"/>
      <c r="M127" s="531"/>
      <c r="N127" s="531"/>
    </row>
    <row r="128" spans="1:14">
      <c r="A128" s="531"/>
      <c r="B128" s="531"/>
      <c r="C128" s="531"/>
      <c r="D128" s="531"/>
      <c r="E128" s="531" t="s">
        <v>622</v>
      </c>
      <c r="F128" s="531"/>
      <c r="G128" s="531"/>
      <c r="H128" s="531"/>
      <c r="I128" s="531"/>
      <c r="J128" s="531"/>
      <c r="K128" s="531"/>
      <c r="L128" s="531"/>
      <c r="M128" s="531"/>
      <c r="N128" s="531"/>
    </row>
    <row r="129" spans="1:14">
      <c r="A129" s="531"/>
      <c r="B129" s="531"/>
      <c r="C129" s="531"/>
      <c r="D129" s="531"/>
      <c r="E129" s="531" t="s">
        <v>623</v>
      </c>
      <c r="F129" s="531"/>
      <c r="G129" s="531"/>
      <c r="H129" s="531"/>
      <c r="I129" s="531"/>
      <c r="J129" s="531"/>
      <c r="K129" s="531"/>
      <c r="L129" s="531"/>
      <c r="M129" s="531"/>
      <c r="N129" s="531"/>
    </row>
    <row r="130" spans="1:14">
      <c r="A130" s="531"/>
      <c r="B130" s="531"/>
      <c r="C130" s="531"/>
      <c r="D130" s="531"/>
      <c r="E130" s="531" t="s">
        <v>624</v>
      </c>
      <c r="F130" s="531"/>
      <c r="G130" s="531"/>
      <c r="H130" s="531"/>
      <c r="I130" s="531"/>
      <c r="J130" s="531"/>
      <c r="K130" s="531"/>
      <c r="L130" s="531"/>
      <c r="M130" s="531"/>
      <c r="N130" s="531"/>
    </row>
    <row r="131" spans="1:14">
      <c r="A131" s="531"/>
      <c r="B131" s="531"/>
      <c r="C131" s="531"/>
      <c r="D131" s="531"/>
      <c r="E131" s="531" t="s">
        <v>625</v>
      </c>
      <c r="F131" s="531"/>
      <c r="G131" s="531"/>
      <c r="H131" s="531"/>
      <c r="I131" s="531"/>
      <c r="J131" s="531"/>
      <c r="K131" s="531"/>
      <c r="L131" s="531"/>
      <c r="M131" s="531"/>
      <c r="N131" s="531"/>
    </row>
    <row r="132" spans="1:14">
      <c r="A132" s="531"/>
      <c r="B132" s="531"/>
      <c r="C132" s="531"/>
      <c r="D132" s="531"/>
      <c r="E132" s="531" t="s">
        <v>626</v>
      </c>
      <c r="F132" s="531"/>
      <c r="G132" s="531"/>
      <c r="H132" s="531"/>
      <c r="I132" s="531"/>
      <c r="J132" s="531"/>
      <c r="K132" s="531"/>
      <c r="L132" s="531"/>
      <c r="M132" s="531"/>
      <c r="N132" s="531"/>
    </row>
    <row r="133" spans="1:14">
      <c r="A133" s="531"/>
      <c r="B133" s="531"/>
      <c r="C133" s="531"/>
      <c r="D133" s="531"/>
      <c r="E133" s="531" t="s">
        <v>627</v>
      </c>
      <c r="F133" s="531"/>
      <c r="G133" s="531"/>
      <c r="H133" s="531"/>
      <c r="I133" s="531"/>
      <c r="J133" s="531"/>
      <c r="K133" s="531"/>
      <c r="L133" s="531"/>
      <c r="M133" s="531"/>
      <c r="N133" s="531"/>
    </row>
    <row r="134" spans="1:14">
      <c r="A134" s="531"/>
      <c r="B134" s="531"/>
      <c r="C134" s="531"/>
      <c r="D134" s="531"/>
      <c r="E134" s="531" t="s">
        <v>628</v>
      </c>
      <c r="F134" s="531"/>
      <c r="G134" s="531"/>
      <c r="H134" s="531"/>
      <c r="I134" s="531"/>
      <c r="J134" s="531"/>
      <c r="K134" s="531"/>
      <c r="L134" s="531"/>
      <c r="M134" s="531"/>
      <c r="N134" s="531"/>
    </row>
    <row r="135" spans="1:14">
      <c r="A135" s="531"/>
      <c r="B135" s="531"/>
      <c r="C135" s="531"/>
      <c r="D135" s="531"/>
      <c r="E135" s="531" t="s">
        <v>629</v>
      </c>
      <c r="F135" s="531"/>
      <c r="G135" s="531"/>
      <c r="H135" s="531"/>
      <c r="I135" s="531"/>
      <c r="J135" s="531"/>
      <c r="K135" s="531"/>
      <c r="L135" s="531"/>
      <c r="M135" s="531"/>
      <c r="N135" s="531"/>
    </row>
    <row r="136" spans="1:14">
      <c r="A136" s="531"/>
      <c r="B136" s="531"/>
      <c r="C136" s="531"/>
      <c r="D136" s="531"/>
      <c r="E136" s="531" t="s">
        <v>630</v>
      </c>
      <c r="F136" s="531"/>
      <c r="G136" s="531"/>
      <c r="H136" s="531"/>
      <c r="I136" s="531"/>
      <c r="J136" s="531"/>
      <c r="K136" s="531"/>
      <c r="L136" s="531"/>
      <c r="M136" s="531"/>
      <c r="N136" s="531"/>
    </row>
    <row r="137" spans="1:14">
      <c r="A137" s="531"/>
      <c r="B137" s="531"/>
      <c r="C137" s="531"/>
      <c r="D137" s="531"/>
      <c r="E137" s="531" t="s">
        <v>631</v>
      </c>
      <c r="F137" s="531"/>
      <c r="G137" s="531"/>
      <c r="H137" s="531"/>
      <c r="I137" s="531"/>
      <c r="J137" s="531"/>
      <c r="K137" s="531"/>
      <c r="L137" s="531"/>
      <c r="M137" s="531"/>
      <c r="N137" s="531"/>
    </row>
    <row r="138" spans="1:14">
      <c r="A138" s="531"/>
      <c r="B138" s="531"/>
      <c r="C138" s="531"/>
      <c r="D138" s="531"/>
      <c r="E138" s="531" t="s">
        <v>632</v>
      </c>
      <c r="F138" s="531"/>
      <c r="G138" s="531"/>
      <c r="H138" s="531"/>
      <c r="I138" s="531"/>
      <c r="J138" s="531"/>
      <c r="K138" s="531"/>
      <c r="L138" s="531"/>
      <c r="M138" s="531"/>
      <c r="N138" s="531"/>
    </row>
    <row r="139" spans="1:14">
      <c r="A139" s="531"/>
      <c r="B139" s="531"/>
      <c r="C139" s="531"/>
      <c r="D139" s="531"/>
      <c r="E139" s="531" t="s">
        <v>633</v>
      </c>
      <c r="F139" s="531"/>
      <c r="G139" s="531"/>
      <c r="H139" s="531"/>
      <c r="I139" s="531"/>
      <c r="J139" s="531"/>
      <c r="K139" s="531"/>
      <c r="L139" s="531"/>
      <c r="M139" s="531"/>
      <c r="N139" s="531"/>
    </row>
    <row r="140" spans="1:14">
      <c r="A140" s="531"/>
      <c r="B140" s="531"/>
      <c r="C140" s="531"/>
      <c r="D140" s="531"/>
      <c r="E140" s="531" t="s">
        <v>634</v>
      </c>
      <c r="F140" s="531"/>
      <c r="G140" s="531"/>
      <c r="H140" s="531"/>
      <c r="I140" s="531"/>
      <c r="J140" s="531"/>
      <c r="K140" s="531"/>
      <c r="L140" s="531"/>
      <c r="M140" s="531"/>
      <c r="N140" s="531"/>
    </row>
    <row r="141" spans="1:14">
      <c r="A141" s="531"/>
      <c r="B141" s="531"/>
      <c r="C141" s="531"/>
      <c r="D141" s="531"/>
      <c r="E141" s="531" t="s">
        <v>635</v>
      </c>
      <c r="F141" s="531"/>
      <c r="G141" s="531"/>
      <c r="H141" s="531"/>
      <c r="I141" s="531"/>
      <c r="J141" s="531"/>
      <c r="K141" s="531"/>
      <c r="L141" s="531"/>
      <c r="M141" s="531"/>
      <c r="N141" s="531"/>
    </row>
    <row r="142" spans="1:14">
      <c r="A142" s="531"/>
      <c r="B142" s="531"/>
      <c r="C142" s="531"/>
      <c r="D142" s="531"/>
      <c r="E142" s="531" t="s">
        <v>636</v>
      </c>
      <c r="F142" s="531"/>
      <c r="G142" s="531"/>
      <c r="H142" s="531"/>
      <c r="I142" s="531"/>
      <c r="J142" s="531"/>
      <c r="K142" s="531"/>
      <c r="L142" s="531"/>
      <c r="M142" s="531"/>
      <c r="N142" s="531"/>
    </row>
    <row r="143" spans="1:14">
      <c r="A143" s="531"/>
      <c r="B143" s="531"/>
      <c r="C143" s="531"/>
      <c r="D143" s="531"/>
      <c r="E143" s="531" t="s">
        <v>637</v>
      </c>
      <c r="F143" s="531"/>
      <c r="G143" s="531"/>
      <c r="H143" s="531"/>
      <c r="I143" s="531"/>
      <c r="J143" s="531"/>
      <c r="K143" s="531"/>
      <c r="L143" s="531"/>
      <c r="M143" s="531"/>
      <c r="N143" s="531"/>
    </row>
    <row r="144" spans="1:14">
      <c r="A144" s="531"/>
      <c r="B144" s="531"/>
      <c r="C144" s="531"/>
      <c r="D144" s="531"/>
      <c r="E144" s="531" t="s">
        <v>638</v>
      </c>
      <c r="F144" s="531"/>
      <c r="G144" s="531"/>
      <c r="H144" s="531"/>
      <c r="I144" s="531"/>
      <c r="J144" s="531"/>
      <c r="K144" s="531"/>
      <c r="L144" s="531"/>
      <c r="M144" s="531"/>
      <c r="N144" s="531"/>
    </row>
    <row r="145" spans="1:14">
      <c r="A145" s="531"/>
      <c r="B145" s="531"/>
      <c r="C145" s="531"/>
      <c r="D145" s="531"/>
      <c r="E145" s="531" t="s">
        <v>639</v>
      </c>
      <c r="F145" s="531"/>
      <c r="G145" s="531"/>
      <c r="H145" s="531"/>
      <c r="I145" s="531"/>
      <c r="J145" s="531"/>
      <c r="K145" s="531"/>
      <c r="L145" s="531"/>
      <c r="M145" s="531"/>
      <c r="N145" s="531"/>
    </row>
    <row r="146" spans="1:14">
      <c r="A146" s="531"/>
      <c r="B146" s="531"/>
      <c r="C146" s="531"/>
      <c r="D146" s="531"/>
      <c r="E146" s="531" t="s">
        <v>640</v>
      </c>
      <c r="F146" s="531"/>
      <c r="G146" s="531"/>
      <c r="H146" s="531"/>
      <c r="I146" s="531"/>
      <c r="J146" s="531"/>
      <c r="K146" s="531"/>
      <c r="L146" s="531"/>
      <c r="M146" s="531"/>
      <c r="N146" s="531"/>
    </row>
    <row r="147" spans="1:14">
      <c r="A147" s="531"/>
      <c r="B147" s="531"/>
      <c r="C147" s="531"/>
      <c r="D147" s="531"/>
      <c r="E147" s="531" t="s">
        <v>641</v>
      </c>
      <c r="F147" s="531"/>
      <c r="G147" s="531"/>
      <c r="H147" s="531"/>
      <c r="I147" s="531"/>
      <c r="J147" s="531"/>
      <c r="K147" s="531"/>
      <c r="L147" s="531"/>
      <c r="M147" s="531"/>
      <c r="N147" s="531"/>
    </row>
    <row r="148" spans="1:14">
      <c r="A148" s="531"/>
      <c r="B148" s="531"/>
      <c r="C148" s="531"/>
      <c r="D148" s="531"/>
      <c r="E148" s="531" t="s">
        <v>642</v>
      </c>
      <c r="F148" s="531"/>
      <c r="G148" s="531"/>
      <c r="H148" s="531"/>
      <c r="I148" s="531"/>
      <c r="J148" s="531"/>
      <c r="K148" s="531"/>
      <c r="L148" s="531"/>
      <c r="M148" s="531"/>
      <c r="N148" s="531"/>
    </row>
    <row r="149" spans="1:14">
      <c r="A149" s="531"/>
      <c r="B149" s="531"/>
      <c r="C149" s="531"/>
      <c r="D149" s="531"/>
      <c r="E149" s="531" t="s">
        <v>643</v>
      </c>
      <c r="F149" s="531"/>
      <c r="G149" s="531"/>
      <c r="H149" s="531"/>
      <c r="I149" s="531"/>
      <c r="J149" s="531"/>
      <c r="K149" s="531"/>
      <c r="L149" s="531"/>
      <c r="M149" s="531"/>
      <c r="N149" s="531"/>
    </row>
    <row r="150" spans="1:14">
      <c r="A150" s="531"/>
      <c r="B150" s="531"/>
      <c r="C150" s="531"/>
      <c r="D150" s="531"/>
      <c r="E150" s="531" t="s">
        <v>644</v>
      </c>
      <c r="F150" s="531"/>
      <c r="G150" s="531"/>
      <c r="H150" s="531"/>
      <c r="I150" s="531"/>
      <c r="J150" s="531"/>
      <c r="K150" s="531"/>
      <c r="L150" s="531"/>
      <c r="M150" s="531"/>
      <c r="N150" s="531"/>
    </row>
    <row r="151" spans="1:14">
      <c r="A151" s="531"/>
      <c r="B151" s="531"/>
      <c r="C151" s="531"/>
      <c r="D151" s="531"/>
      <c r="E151" s="531" t="s">
        <v>645</v>
      </c>
      <c r="F151" s="531"/>
      <c r="G151" s="531"/>
      <c r="H151" s="531"/>
      <c r="I151" s="531"/>
      <c r="J151" s="531"/>
      <c r="K151" s="531"/>
      <c r="L151" s="531"/>
      <c r="M151" s="531"/>
      <c r="N151" s="531"/>
    </row>
    <row r="152" spans="1:14">
      <c r="A152" s="531"/>
      <c r="B152" s="531"/>
      <c r="C152" s="531"/>
      <c r="D152" s="531"/>
      <c r="E152" s="531" t="s">
        <v>646</v>
      </c>
      <c r="F152" s="531"/>
      <c r="G152" s="531"/>
      <c r="H152" s="531"/>
      <c r="I152" s="531"/>
      <c r="J152" s="531"/>
      <c r="K152" s="531"/>
      <c r="L152" s="531"/>
      <c r="M152" s="531"/>
      <c r="N152" s="531"/>
    </row>
    <row r="153" spans="1:14">
      <c r="A153" s="531"/>
      <c r="B153" s="531"/>
      <c r="C153" s="531"/>
      <c r="D153" s="531"/>
      <c r="E153" s="531" t="s">
        <v>647</v>
      </c>
      <c r="F153" s="531"/>
      <c r="G153" s="531"/>
      <c r="H153" s="531"/>
      <c r="I153" s="531"/>
      <c r="J153" s="531"/>
      <c r="K153" s="531"/>
      <c r="L153" s="531"/>
      <c r="M153" s="531"/>
      <c r="N153" s="531"/>
    </row>
    <row r="154" spans="1:14">
      <c r="A154" s="531"/>
      <c r="B154" s="531"/>
      <c r="C154" s="531"/>
      <c r="D154" s="531"/>
      <c r="E154" s="531" t="s">
        <v>648</v>
      </c>
      <c r="F154" s="531"/>
      <c r="G154" s="531"/>
      <c r="H154" s="531"/>
      <c r="I154" s="531"/>
      <c r="J154" s="531"/>
      <c r="K154" s="531"/>
      <c r="L154" s="531"/>
      <c r="M154" s="531"/>
      <c r="N154" s="531"/>
    </row>
    <row r="155" spans="1:14">
      <c r="A155" s="531"/>
      <c r="B155" s="531"/>
      <c r="C155" s="531"/>
      <c r="D155" s="531"/>
      <c r="E155" s="531" t="s">
        <v>649</v>
      </c>
      <c r="F155" s="531"/>
      <c r="G155" s="531"/>
      <c r="H155" s="531"/>
      <c r="I155" s="531"/>
      <c r="J155" s="531"/>
      <c r="K155" s="531"/>
      <c r="L155" s="531"/>
      <c r="M155" s="531"/>
      <c r="N155" s="531"/>
    </row>
    <row r="156" spans="1:14">
      <c r="A156" s="531"/>
      <c r="B156" s="531"/>
      <c r="C156" s="531"/>
      <c r="D156" s="531"/>
      <c r="E156" s="531" t="s">
        <v>650</v>
      </c>
      <c r="F156" s="531"/>
      <c r="G156" s="531"/>
      <c r="H156" s="531"/>
      <c r="I156" s="531"/>
      <c r="J156" s="531"/>
      <c r="K156" s="531"/>
      <c r="L156" s="531"/>
      <c r="M156" s="531"/>
      <c r="N156" s="531"/>
    </row>
    <row r="157" spans="1:14">
      <c r="A157" s="531"/>
      <c r="B157" s="531"/>
      <c r="C157" s="531"/>
      <c r="D157" s="531"/>
      <c r="E157" s="531" t="s">
        <v>651</v>
      </c>
      <c r="F157" s="531"/>
      <c r="G157" s="531"/>
      <c r="H157" s="531"/>
      <c r="I157" s="531"/>
      <c r="J157" s="531"/>
      <c r="K157" s="531"/>
      <c r="L157" s="531"/>
      <c r="M157" s="531"/>
      <c r="N157" s="531"/>
    </row>
    <row r="158" spans="1:14">
      <c r="A158" s="531"/>
      <c r="B158" s="531"/>
      <c r="C158" s="531"/>
      <c r="D158" s="531"/>
      <c r="E158" s="531" t="s">
        <v>652</v>
      </c>
      <c r="F158" s="531"/>
      <c r="G158" s="531"/>
      <c r="H158" s="531"/>
      <c r="I158" s="531"/>
      <c r="J158" s="531"/>
      <c r="K158" s="531"/>
      <c r="L158" s="531"/>
      <c r="M158" s="531"/>
      <c r="N158" s="531"/>
    </row>
    <row r="159" spans="1:14">
      <c r="A159" s="531"/>
      <c r="B159" s="531"/>
      <c r="C159" s="531"/>
      <c r="D159" s="531"/>
      <c r="E159" s="531" t="s">
        <v>653</v>
      </c>
      <c r="F159" s="531"/>
      <c r="G159" s="531"/>
      <c r="H159" s="531"/>
      <c r="I159" s="531"/>
      <c r="J159" s="531"/>
      <c r="K159" s="531"/>
      <c r="L159" s="531"/>
      <c r="M159" s="531"/>
      <c r="N159" s="531"/>
    </row>
    <row r="160" spans="1:14">
      <c r="A160" s="531"/>
      <c r="B160" s="531"/>
      <c r="C160" s="531"/>
      <c r="D160" s="531"/>
      <c r="E160" s="531" t="s">
        <v>654</v>
      </c>
      <c r="F160" s="531"/>
      <c r="G160" s="531"/>
      <c r="H160" s="531"/>
      <c r="I160" s="531"/>
      <c r="J160" s="531"/>
      <c r="K160" s="531"/>
      <c r="L160" s="531"/>
      <c r="M160" s="531"/>
      <c r="N160" s="531"/>
    </row>
    <row r="161" spans="1:14">
      <c r="A161" s="531"/>
      <c r="B161" s="531"/>
      <c r="C161" s="531"/>
      <c r="D161" s="531"/>
      <c r="E161" s="531" t="s">
        <v>655</v>
      </c>
      <c r="F161" s="531"/>
      <c r="G161" s="531"/>
      <c r="H161" s="531"/>
      <c r="I161" s="531"/>
      <c r="J161" s="531"/>
      <c r="K161" s="531"/>
      <c r="L161" s="531"/>
      <c r="M161" s="531"/>
      <c r="N161" s="531"/>
    </row>
    <row r="162" spans="1:14">
      <c r="A162" s="531"/>
      <c r="B162" s="531"/>
      <c r="C162" s="531"/>
      <c r="D162" s="531"/>
      <c r="E162" s="531" t="s">
        <v>656</v>
      </c>
      <c r="F162" s="531"/>
      <c r="G162" s="531"/>
      <c r="H162" s="531"/>
      <c r="I162" s="531"/>
      <c r="J162" s="531"/>
      <c r="K162" s="531"/>
      <c r="L162" s="531"/>
      <c r="M162" s="531"/>
      <c r="N162" s="531"/>
    </row>
    <row r="163" spans="1:14">
      <c r="A163" s="531"/>
      <c r="B163" s="531"/>
      <c r="C163" s="531"/>
      <c r="D163" s="531"/>
      <c r="E163" s="531" t="s">
        <v>657</v>
      </c>
      <c r="F163" s="531"/>
      <c r="G163" s="531"/>
      <c r="H163" s="531"/>
      <c r="I163" s="531"/>
      <c r="J163" s="531"/>
      <c r="K163" s="531"/>
      <c r="L163" s="531"/>
      <c r="M163" s="531"/>
      <c r="N163" s="531"/>
    </row>
    <row r="164" spans="1:14">
      <c r="A164" s="531"/>
      <c r="B164" s="531"/>
      <c r="C164" s="531"/>
      <c r="D164" s="531"/>
      <c r="E164" s="531" t="s">
        <v>658</v>
      </c>
      <c r="F164" s="531"/>
      <c r="G164" s="531"/>
      <c r="H164" s="531"/>
      <c r="I164" s="531"/>
      <c r="J164" s="531"/>
      <c r="K164" s="531"/>
      <c r="L164" s="531"/>
      <c r="M164" s="531"/>
      <c r="N164" s="531"/>
    </row>
    <row r="165" spans="1:14">
      <c r="A165" s="531"/>
      <c r="B165" s="531"/>
      <c r="C165" s="531"/>
      <c r="D165" s="531"/>
      <c r="E165" s="531" t="s">
        <v>659</v>
      </c>
      <c r="F165" s="531"/>
      <c r="G165" s="531"/>
      <c r="H165" s="531"/>
      <c r="I165" s="531"/>
      <c r="J165" s="531"/>
      <c r="K165" s="531"/>
      <c r="L165" s="531"/>
      <c r="M165" s="531"/>
      <c r="N165" s="531"/>
    </row>
    <row r="166" spans="1:14">
      <c r="A166" s="531"/>
      <c r="B166" s="531"/>
      <c r="C166" s="531"/>
      <c r="D166" s="531"/>
      <c r="E166" s="531" t="s">
        <v>660</v>
      </c>
      <c r="F166" s="531"/>
      <c r="G166" s="531"/>
      <c r="H166" s="531"/>
      <c r="I166" s="531"/>
      <c r="J166" s="531"/>
      <c r="K166" s="531"/>
      <c r="L166" s="531"/>
      <c r="M166" s="531"/>
      <c r="N166" s="531"/>
    </row>
    <row r="167" spans="1:14">
      <c r="A167" s="531"/>
      <c r="B167" s="531"/>
      <c r="C167" s="531"/>
      <c r="D167" s="531"/>
      <c r="E167" s="531" t="s">
        <v>661</v>
      </c>
      <c r="F167" s="531"/>
      <c r="G167" s="531"/>
      <c r="H167" s="531"/>
      <c r="I167" s="531"/>
      <c r="J167" s="531"/>
      <c r="K167" s="531"/>
      <c r="L167" s="531"/>
      <c r="M167" s="531"/>
      <c r="N167" s="531"/>
    </row>
    <row r="168" spans="1:14">
      <c r="A168" s="531"/>
      <c r="B168" s="531"/>
      <c r="C168" s="531"/>
      <c r="D168" s="531"/>
      <c r="E168" s="531" t="s">
        <v>662</v>
      </c>
      <c r="F168" s="531"/>
      <c r="G168" s="531"/>
      <c r="H168" s="531"/>
      <c r="I168" s="531"/>
      <c r="J168" s="531"/>
      <c r="K168" s="531"/>
      <c r="L168" s="531"/>
      <c r="M168" s="531"/>
      <c r="N168" s="531"/>
    </row>
    <row r="169" spans="1:14">
      <c r="A169" s="531"/>
      <c r="B169" s="531"/>
      <c r="C169" s="531"/>
      <c r="D169" s="531"/>
      <c r="E169" s="531" t="s">
        <v>663</v>
      </c>
      <c r="F169" s="531"/>
      <c r="G169" s="531"/>
      <c r="H169" s="531"/>
      <c r="I169" s="531"/>
      <c r="J169" s="531"/>
      <c r="K169" s="531"/>
      <c r="L169" s="531"/>
      <c r="M169" s="531"/>
      <c r="N169" s="531"/>
    </row>
    <row r="170" spans="1:14">
      <c r="A170" s="531"/>
      <c r="B170" s="531"/>
      <c r="C170" s="531"/>
      <c r="D170" s="531"/>
      <c r="E170" s="531" t="s">
        <v>664</v>
      </c>
      <c r="F170" s="531"/>
      <c r="G170" s="531"/>
      <c r="H170" s="531"/>
      <c r="I170" s="531"/>
      <c r="J170" s="531"/>
      <c r="K170" s="531"/>
      <c r="L170" s="531"/>
      <c r="M170" s="531"/>
      <c r="N170" s="531"/>
    </row>
    <row r="171" spans="1:14">
      <c r="A171" s="531"/>
      <c r="B171" s="531"/>
      <c r="C171" s="531"/>
      <c r="D171" s="531"/>
      <c r="E171" s="531" t="s">
        <v>665</v>
      </c>
      <c r="F171" s="531"/>
      <c r="G171" s="531"/>
      <c r="H171" s="531"/>
      <c r="I171" s="531"/>
      <c r="J171" s="531"/>
      <c r="K171" s="531"/>
      <c r="L171" s="531"/>
      <c r="M171" s="531"/>
      <c r="N171" s="531"/>
    </row>
    <row r="172" spans="1:14">
      <c r="A172" s="531"/>
      <c r="B172" s="531"/>
      <c r="C172" s="531"/>
      <c r="D172" s="531"/>
      <c r="E172" s="531" t="s">
        <v>666</v>
      </c>
      <c r="F172" s="531"/>
      <c r="G172" s="531"/>
      <c r="H172" s="531"/>
      <c r="I172" s="531"/>
      <c r="J172" s="531"/>
      <c r="K172" s="531"/>
      <c r="L172" s="531"/>
      <c r="M172" s="531"/>
      <c r="N172" s="531"/>
    </row>
    <row r="173" spans="1:14">
      <c r="A173" s="531"/>
      <c r="B173" s="531"/>
      <c r="C173" s="531"/>
      <c r="D173" s="531"/>
      <c r="E173" s="531" t="s">
        <v>667</v>
      </c>
      <c r="F173" s="531"/>
      <c r="G173" s="531"/>
      <c r="H173" s="531"/>
      <c r="I173" s="531"/>
      <c r="J173" s="531"/>
      <c r="K173" s="531"/>
      <c r="L173" s="531"/>
      <c r="M173" s="531"/>
      <c r="N173" s="531"/>
    </row>
    <row r="174" spans="1:14">
      <c r="A174" s="531"/>
      <c r="B174" s="531"/>
      <c r="C174" s="531"/>
      <c r="D174" s="531"/>
      <c r="E174" s="531" t="s">
        <v>668</v>
      </c>
      <c r="F174" s="531"/>
      <c r="G174" s="531"/>
      <c r="H174" s="531"/>
      <c r="I174" s="531"/>
      <c r="J174" s="531"/>
      <c r="K174" s="531"/>
      <c r="L174" s="531"/>
      <c r="M174" s="531"/>
      <c r="N174" s="531"/>
    </row>
    <row r="175" spans="1:14">
      <c r="A175" s="531"/>
      <c r="B175" s="531"/>
      <c r="C175" s="531"/>
      <c r="D175" s="531"/>
      <c r="E175" s="531" t="s">
        <v>669</v>
      </c>
      <c r="F175" s="531"/>
      <c r="G175" s="531"/>
      <c r="H175" s="531"/>
      <c r="I175" s="531"/>
      <c r="J175" s="531"/>
      <c r="K175" s="531"/>
      <c r="L175" s="531"/>
      <c r="M175" s="531"/>
      <c r="N175" s="531"/>
    </row>
    <row r="176" spans="1:14">
      <c r="A176" s="531"/>
      <c r="B176" s="531"/>
      <c r="C176" s="531"/>
      <c r="D176" s="531"/>
      <c r="E176" s="531" t="s">
        <v>670</v>
      </c>
      <c r="F176" s="531"/>
      <c r="G176" s="531"/>
      <c r="H176" s="531"/>
      <c r="I176" s="531"/>
      <c r="J176" s="531"/>
      <c r="K176" s="531"/>
      <c r="L176" s="531"/>
      <c r="M176" s="531"/>
      <c r="N176" s="531"/>
    </row>
    <row r="177" spans="1:14">
      <c r="A177" s="531"/>
      <c r="B177" s="531"/>
      <c r="C177" s="531"/>
      <c r="D177" s="531"/>
      <c r="E177" s="531" t="s">
        <v>671</v>
      </c>
      <c r="F177" s="531"/>
      <c r="G177" s="531"/>
      <c r="H177" s="531"/>
      <c r="I177" s="531"/>
      <c r="J177" s="531"/>
      <c r="K177" s="531"/>
      <c r="L177" s="531"/>
      <c r="M177" s="531"/>
      <c r="N177" s="531"/>
    </row>
    <row r="178" spans="1:14">
      <c r="A178" s="531"/>
      <c r="B178" s="531"/>
      <c r="C178" s="531"/>
      <c r="D178" s="531"/>
      <c r="E178" s="531" t="s">
        <v>672</v>
      </c>
      <c r="F178" s="531"/>
      <c r="G178" s="531"/>
      <c r="H178" s="531"/>
      <c r="I178" s="531"/>
      <c r="J178" s="531"/>
      <c r="K178" s="531"/>
      <c r="L178" s="531"/>
      <c r="M178" s="531"/>
      <c r="N178" s="531"/>
    </row>
    <row r="179" spans="1:14">
      <c r="A179" s="531"/>
      <c r="B179" s="531"/>
      <c r="C179" s="531"/>
      <c r="D179" s="531"/>
      <c r="E179" s="531" t="s">
        <v>673</v>
      </c>
      <c r="F179" s="531"/>
      <c r="G179" s="531"/>
      <c r="H179" s="531"/>
      <c r="I179" s="531"/>
      <c r="J179" s="531"/>
      <c r="K179" s="531"/>
      <c r="L179" s="531"/>
      <c r="M179" s="531"/>
      <c r="N179" s="531"/>
    </row>
    <row r="180" spans="1:14">
      <c r="A180" s="531"/>
      <c r="B180" s="531"/>
      <c r="C180" s="531"/>
      <c r="D180" s="531"/>
      <c r="E180" s="531" t="s">
        <v>674</v>
      </c>
      <c r="F180" s="531"/>
      <c r="G180" s="531"/>
      <c r="H180" s="531"/>
      <c r="I180" s="531"/>
      <c r="J180" s="531"/>
      <c r="K180" s="531"/>
      <c r="L180" s="531"/>
      <c r="M180" s="531"/>
      <c r="N180" s="531"/>
    </row>
    <row r="181" spans="1:14">
      <c r="A181" s="531"/>
      <c r="B181" s="531"/>
      <c r="C181" s="531"/>
      <c r="D181" s="531"/>
      <c r="E181" s="531" t="s">
        <v>675</v>
      </c>
      <c r="F181" s="531"/>
      <c r="G181" s="531"/>
      <c r="H181" s="531"/>
      <c r="I181" s="531"/>
      <c r="J181" s="531"/>
      <c r="K181" s="531"/>
      <c r="L181" s="531"/>
      <c r="M181" s="531"/>
      <c r="N181" s="531"/>
    </row>
    <row r="182" spans="1:14">
      <c r="A182" s="531"/>
      <c r="B182" s="531"/>
      <c r="C182" s="531"/>
      <c r="D182" s="531"/>
      <c r="E182" s="531" t="s">
        <v>676</v>
      </c>
      <c r="F182" s="531"/>
      <c r="G182" s="531"/>
      <c r="H182" s="531"/>
      <c r="I182" s="531"/>
      <c r="J182" s="531"/>
      <c r="K182" s="531"/>
      <c r="L182" s="531"/>
      <c r="M182" s="531"/>
      <c r="N182" s="531"/>
    </row>
    <row r="183" spans="1:14">
      <c r="A183" s="531"/>
      <c r="B183" s="531"/>
      <c r="C183" s="531"/>
      <c r="D183" s="531"/>
      <c r="E183" s="531" t="s">
        <v>677</v>
      </c>
      <c r="F183" s="531"/>
      <c r="G183" s="531"/>
      <c r="H183" s="531"/>
      <c r="I183" s="531"/>
      <c r="J183" s="531"/>
      <c r="K183" s="531"/>
      <c r="L183" s="531"/>
      <c r="M183" s="531"/>
      <c r="N183" s="531"/>
    </row>
    <row r="184" spans="1:14">
      <c r="A184" s="531"/>
      <c r="B184" s="531"/>
      <c r="C184" s="531"/>
      <c r="D184" s="531"/>
      <c r="E184" s="531" t="s">
        <v>678</v>
      </c>
      <c r="F184" s="531"/>
      <c r="G184" s="531"/>
      <c r="H184" s="531"/>
      <c r="I184" s="531"/>
      <c r="J184" s="531"/>
      <c r="K184" s="531"/>
      <c r="L184" s="531"/>
      <c r="M184" s="531"/>
      <c r="N184" s="531"/>
    </row>
    <row r="185" spans="1:14">
      <c r="A185" s="531"/>
      <c r="B185" s="531"/>
      <c r="C185" s="531"/>
      <c r="D185" s="531"/>
      <c r="E185" s="531" t="s">
        <v>679</v>
      </c>
      <c r="F185" s="531"/>
      <c r="G185" s="531"/>
      <c r="H185" s="531"/>
      <c r="I185" s="531"/>
      <c r="J185" s="531"/>
      <c r="K185" s="531"/>
      <c r="L185" s="531"/>
      <c r="M185" s="531"/>
      <c r="N185" s="531"/>
    </row>
    <row r="186" spans="1:14">
      <c r="A186" s="531"/>
      <c r="B186" s="531"/>
      <c r="C186" s="531"/>
      <c r="D186" s="531"/>
      <c r="E186" s="531" t="s">
        <v>680</v>
      </c>
      <c r="F186" s="531"/>
      <c r="G186" s="531"/>
      <c r="H186" s="531"/>
      <c r="I186" s="531"/>
      <c r="J186" s="531"/>
      <c r="K186" s="531"/>
      <c r="L186" s="531"/>
      <c r="M186" s="531"/>
      <c r="N186" s="531"/>
    </row>
    <row r="187" spans="1:14">
      <c r="A187" s="531"/>
      <c r="B187" s="531"/>
      <c r="C187" s="531"/>
      <c r="D187" s="531"/>
      <c r="E187" s="531" t="s">
        <v>681</v>
      </c>
      <c r="F187" s="531"/>
      <c r="G187" s="531"/>
      <c r="H187" s="531"/>
      <c r="I187" s="531"/>
      <c r="J187" s="531"/>
      <c r="K187" s="531"/>
      <c r="L187" s="531"/>
      <c r="M187" s="531"/>
      <c r="N187" s="531"/>
    </row>
    <row r="188" spans="1:14">
      <c r="A188" s="531"/>
      <c r="B188" s="531"/>
      <c r="C188" s="531"/>
      <c r="D188" s="531"/>
      <c r="E188" s="531" t="s">
        <v>682</v>
      </c>
      <c r="F188" s="531"/>
      <c r="G188" s="531"/>
      <c r="H188" s="531"/>
      <c r="I188" s="531"/>
      <c r="J188" s="531"/>
      <c r="K188" s="531"/>
      <c r="L188" s="531"/>
      <c r="M188" s="531"/>
      <c r="N188" s="531"/>
    </row>
    <row r="189" spans="1:14">
      <c r="A189" s="531"/>
      <c r="B189" s="531"/>
      <c r="C189" s="531"/>
      <c r="D189" s="531"/>
      <c r="E189" s="531" t="s">
        <v>683</v>
      </c>
      <c r="F189" s="531"/>
      <c r="G189" s="531"/>
      <c r="H189" s="531"/>
      <c r="I189" s="531"/>
      <c r="J189" s="531"/>
      <c r="K189" s="531"/>
      <c r="L189" s="531"/>
      <c r="M189" s="531"/>
      <c r="N189" s="531"/>
    </row>
    <row r="190" spans="1:14">
      <c r="A190" s="531"/>
      <c r="B190" s="531"/>
      <c r="C190" s="531"/>
      <c r="D190" s="531"/>
      <c r="E190" s="531" t="s">
        <v>684</v>
      </c>
      <c r="F190" s="531"/>
      <c r="G190" s="531"/>
      <c r="H190" s="531"/>
      <c r="I190" s="531"/>
      <c r="J190" s="531"/>
      <c r="K190" s="531"/>
      <c r="L190" s="531"/>
      <c r="M190" s="531"/>
      <c r="N190" s="531"/>
    </row>
    <row r="191" spans="1:14">
      <c r="A191" s="531"/>
      <c r="B191" s="531"/>
      <c r="C191" s="531"/>
      <c r="D191" s="531"/>
      <c r="E191" s="531" t="s">
        <v>685</v>
      </c>
      <c r="F191" s="531"/>
      <c r="G191" s="531"/>
      <c r="H191" s="531"/>
      <c r="I191" s="531"/>
      <c r="J191" s="531"/>
      <c r="K191" s="531"/>
      <c r="L191" s="531"/>
      <c r="M191" s="531"/>
      <c r="N191" s="531"/>
    </row>
    <row r="192" spans="1:14">
      <c r="A192" s="531"/>
      <c r="B192" s="531"/>
      <c r="C192" s="531"/>
      <c r="D192" s="531"/>
      <c r="E192" s="531" t="s">
        <v>686</v>
      </c>
      <c r="F192" s="531"/>
      <c r="G192" s="531"/>
      <c r="H192" s="531"/>
      <c r="I192" s="531"/>
      <c r="J192" s="531"/>
      <c r="K192" s="531"/>
      <c r="L192" s="531"/>
      <c r="M192" s="531"/>
      <c r="N192" s="531"/>
    </row>
    <row r="193" spans="1:14">
      <c r="A193" s="531"/>
      <c r="B193" s="531"/>
      <c r="C193" s="531"/>
      <c r="D193" s="531"/>
      <c r="E193" s="531" t="s">
        <v>687</v>
      </c>
      <c r="F193" s="531"/>
      <c r="G193" s="531"/>
      <c r="H193" s="531"/>
      <c r="I193" s="531"/>
      <c r="J193" s="531"/>
      <c r="K193" s="531"/>
      <c r="L193" s="531"/>
      <c r="M193" s="531"/>
      <c r="N193" s="531"/>
    </row>
    <row r="194" spans="1:14">
      <c r="A194" s="531"/>
      <c r="B194" s="531"/>
      <c r="C194" s="531"/>
      <c r="D194" s="531"/>
      <c r="E194" s="531" t="s">
        <v>688</v>
      </c>
      <c r="F194" s="531"/>
      <c r="G194" s="531"/>
      <c r="H194" s="531"/>
      <c r="I194" s="531"/>
      <c r="J194" s="531"/>
      <c r="K194" s="531"/>
      <c r="L194" s="531"/>
      <c r="M194" s="531"/>
      <c r="N194" s="531"/>
    </row>
    <row r="195" spans="1:14">
      <c r="A195" s="531"/>
      <c r="B195" s="531"/>
      <c r="C195" s="531"/>
      <c r="D195" s="531"/>
      <c r="E195" s="531" t="s">
        <v>689</v>
      </c>
      <c r="F195" s="531"/>
      <c r="G195" s="531"/>
      <c r="H195" s="531"/>
      <c r="I195" s="531"/>
      <c r="J195" s="531"/>
      <c r="K195" s="531"/>
      <c r="L195" s="531"/>
      <c r="M195" s="531"/>
      <c r="N195" s="531"/>
    </row>
    <row r="196" spans="1:14">
      <c r="A196" s="531"/>
      <c r="B196" s="531"/>
      <c r="C196" s="531"/>
      <c r="D196" s="531"/>
      <c r="E196" s="531" t="s">
        <v>690</v>
      </c>
      <c r="F196" s="531"/>
      <c r="G196" s="531"/>
      <c r="H196" s="531"/>
      <c r="I196" s="531"/>
      <c r="J196" s="531"/>
      <c r="K196" s="531"/>
      <c r="L196" s="531"/>
      <c r="M196" s="531"/>
      <c r="N196" s="531"/>
    </row>
    <row r="197" spans="1:14">
      <c r="A197" s="531"/>
      <c r="B197" s="531"/>
      <c r="C197" s="531"/>
      <c r="D197" s="531"/>
      <c r="E197" s="531" t="s">
        <v>691</v>
      </c>
      <c r="F197" s="531"/>
      <c r="G197" s="531"/>
      <c r="H197" s="531"/>
      <c r="I197" s="531"/>
      <c r="J197" s="531"/>
      <c r="K197" s="531"/>
      <c r="L197" s="531"/>
      <c r="M197" s="531"/>
      <c r="N197" s="531"/>
    </row>
    <row r="198" spans="1:14">
      <c r="A198" s="531"/>
      <c r="B198" s="531"/>
      <c r="C198" s="531"/>
      <c r="D198" s="531"/>
      <c r="E198" s="531" t="s">
        <v>505</v>
      </c>
      <c r="F198" s="531"/>
      <c r="G198" s="531"/>
      <c r="H198" s="531"/>
      <c r="I198" s="531"/>
      <c r="J198" s="531"/>
      <c r="K198" s="531"/>
      <c r="L198" s="531"/>
      <c r="M198" s="531"/>
      <c r="N198" s="531"/>
    </row>
    <row r="199" spans="1:14">
      <c r="A199" s="531"/>
      <c r="B199" s="531"/>
      <c r="C199" s="531"/>
      <c r="D199" s="531"/>
      <c r="E199" s="531" t="s">
        <v>692</v>
      </c>
      <c r="F199" s="531"/>
      <c r="G199" s="531"/>
      <c r="H199" s="531"/>
      <c r="I199" s="531"/>
      <c r="J199" s="531"/>
      <c r="K199" s="531"/>
      <c r="L199" s="531"/>
      <c r="M199" s="531"/>
      <c r="N199" s="531"/>
    </row>
    <row r="200" spans="1:14">
      <c r="A200" s="531"/>
      <c r="B200" s="531"/>
      <c r="C200" s="531"/>
      <c r="D200" s="531"/>
      <c r="E200" s="531" t="s">
        <v>693</v>
      </c>
      <c r="F200" s="531"/>
      <c r="G200" s="531"/>
      <c r="H200" s="531"/>
      <c r="I200" s="531"/>
      <c r="J200" s="531"/>
      <c r="K200" s="531"/>
      <c r="L200" s="531"/>
      <c r="M200" s="531"/>
      <c r="N200" s="531"/>
    </row>
    <row r="201" spans="1:14">
      <c r="A201" s="531"/>
      <c r="B201" s="531"/>
      <c r="C201" s="531"/>
      <c r="D201" s="531"/>
      <c r="E201" s="531" t="s">
        <v>694</v>
      </c>
      <c r="F201" s="531"/>
      <c r="G201" s="531"/>
      <c r="H201" s="531"/>
      <c r="I201" s="531"/>
      <c r="J201" s="531"/>
      <c r="K201" s="531"/>
      <c r="L201" s="531"/>
      <c r="M201" s="531"/>
      <c r="N201" s="531"/>
    </row>
    <row r="202" spans="1:14">
      <c r="A202" s="531"/>
      <c r="B202" s="531"/>
      <c r="C202" s="531"/>
      <c r="D202" s="531"/>
      <c r="E202" s="531" t="s">
        <v>695</v>
      </c>
      <c r="F202" s="531"/>
      <c r="G202" s="531"/>
      <c r="H202" s="531"/>
      <c r="I202" s="531"/>
      <c r="J202" s="531"/>
      <c r="K202" s="531"/>
      <c r="L202" s="531"/>
      <c r="M202" s="531"/>
      <c r="N202" s="531"/>
    </row>
    <row r="203" spans="1:14">
      <c r="A203" s="531"/>
      <c r="B203" s="531"/>
      <c r="C203" s="531"/>
      <c r="D203" s="531"/>
      <c r="E203" s="531" t="s">
        <v>696</v>
      </c>
      <c r="F203" s="531"/>
      <c r="G203" s="531"/>
      <c r="H203" s="531"/>
      <c r="I203" s="531"/>
      <c r="J203" s="531"/>
      <c r="K203" s="531"/>
      <c r="L203" s="531"/>
      <c r="M203" s="531"/>
      <c r="N203" s="531"/>
    </row>
    <row r="204" spans="1:14">
      <c r="A204" s="531"/>
      <c r="B204" s="531"/>
      <c r="C204" s="531"/>
      <c r="D204" s="531"/>
      <c r="E204" s="531" t="s">
        <v>697</v>
      </c>
      <c r="F204" s="531"/>
      <c r="G204" s="531"/>
      <c r="H204" s="531"/>
      <c r="I204" s="531"/>
      <c r="J204" s="531"/>
      <c r="K204" s="531"/>
      <c r="L204" s="531"/>
      <c r="M204" s="531"/>
      <c r="N204" s="531"/>
    </row>
    <row r="205" spans="1:14">
      <c r="A205" s="531"/>
      <c r="B205" s="531"/>
      <c r="C205" s="531"/>
      <c r="D205" s="531"/>
      <c r="E205" s="531" t="s">
        <v>698</v>
      </c>
      <c r="F205" s="531"/>
      <c r="G205" s="531"/>
      <c r="H205" s="531"/>
      <c r="I205" s="531"/>
      <c r="J205" s="531"/>
      <c r="K205" s="531"/>
      <c r="L205" s="531"/>
      <c r="M205" s="531"/>
      <c r="N205" s="531"/>
    </row>
    <row r="206" spans="1:14">
      <c r="A206" s="531"/>
      <c r="B206" s="531"/>
      <c r="C206" s="531"/>
      <c r="D206" s="531"/>
      <c r="E206" s="531" t="s">
        <v>699</v>
      </c>
      <c r="F206" s="531"/>
      <c r="G206" s="531"/>
      <c r="H206" s="531"/>
      <c r="I206" s="531"/>
      <c r="J206" s="531"/>
      <c r="K206" s="531"/>
      <c r="L206" s="531"/>
      <c r="M206" s="531"/>
      <c r="N206" s="531"/>
    </row>
    <row r="207" spans="1:14">
      <c r="A207" s="531"/>
      <c r="B207" s="531"/>
      <c r="C207" s="531"/>
      <c r="D207" s="531"/>
      <c r="E207" s="531" t="s">
        <v>700</v>
      </c>
      <c r="F207" s="531"/>
      <c r="G207" s="531"/>
      <c r="H207" s="531"/>
      <c r="I207" s="531"/>
      <c r="J207" s="531"/>
      <c r="K207" s="531"/>
      <c r="L207" s="531"/>
      <c r="M207" s="531"/>
      <c r="N207" s="531"/>
    </row>
    <row r="208" spans="1:14">
      <c r="A208" s="531"/>
      <c r="B208" s="531"/>
      <c r="C208" s="531"/>
      <c r="D208" s="531"/>
      <c r="E208" s="531" t="s">
        <v>701</v>
      </c>
      <c r="F208" s="531"/>
      <c r="G208" s="531"/>
      <c r="H208" s="531"/>
      <c r="I208" s="531"/>
      <c r="J208" s="531"/>
      <c r="K208" s="531"/>
      <c r="L208" s="531"/>
      <c r="M208" s="531"/>
      <c r="N208" s="531"/>
    </row>
    <row r="209" spans="1:14">
      <c r="A209" s="531"/>
      <c r="B209" s="531"/>
      <c r="C209" s="531"/>
      <c r="D209" s="531"/>
      <c r="E209" s="531" t="s">
        <v>507</v>
      </c>
      <c r="F209" s="531"/>
      <c r="G209" s="531"/>
      <c r="H209" s="531"/>
      <c r="I209" s="531"/>
      <c r="J209" s="531"/>
      <c r="K209" s="531"/>
      <c r="L209" s="531"/>
      <c r="M209" s="531"/>
      <c r="N209" s="531"/>
    </row>
    <row r="210" spans="1:14">
      <c r="A210" s="531"/>
      <c r="B210" s="531"/>
      <c r="C210" s="531"/>
      <c r="D210" s="531"/>
      <c r="E210" s="531" t="s">
        <v>702</v>
      </c>
      <c r="F210" s="531"/>
      <c r="G210" s="531"/>
      <c r="H210" s="531"/>
      <c r="I210" s="531"/>
      <c r="J210" s="531"/>
      <c r="K210" s="531"/>
      <c r="L210" s="531"/>
      <c r="M210" s="531"/>
      <c r="N210" s="531"/>
    </row>
    <row r="211" spans="1:14">
      <c r="A211" s="531"/>
      <c r="B211" s="531"/>
      <c r="C211" s="531"/>
      <c r="D211" s="531"/>
      <c r="E211" s="531" t="s">
        <v>703</v>
      </c>
      <c r="F211" s="531"/>
      <c r="G211" s="531"/>
      <c r="H211" s="531"/>
      <c r="I211" s="531"/>
      <c r="J211" s="531"/>
      <c r="K211" s="531"/>
      <c r="L211" s="531"/>
      <c r="M211" s="531"/>
      <c r="N211" s="531"/>
    </row>
    <row r="212" spans="1:14">
      <c r="A212" s="531"/>
      <c r="B212" s="531"/>
      <c r="C212" s="531"/>
      <c r="D212" s="531"/>
      <c r="E212" s="531" t="s">
        <v>704</v>
      </c>
      <c r="F212" s="531"/>
      <c r="G212" s="531"/>
      <c r="H212" s="531"/>
      <c r="I212" s="531"/>
      <c r="J212" s="531"/>
      <c r="K212" s="531"/>
      <c r="L212" s="531"/>
      <c r="M212" s="531"/>
      <c r="N212" s="531"/>
    </row>
    <row r="213" spans="1:14">
      <c r="A213" s="531"/>
      <c r="B213" s="531"/>
      <c r="C213" s="531"/>
      <c r="D213" s="531"/>
      <c r="E213" s="531" t="s">
        <v>705</v>
      </c>
      <c r="F213" s="531"/>
      <c r="G213" s="531"/>
      <c r="H213" s="531"/>
      <c r="I213" s="531"/>
      <c r="J213" s="531"/>
      <c r="K213" s="531"/>
      <c r="L213" s="531"/>
      <c r="M213" s="531"/>
      <c r="N213" s="531"/>
    </row>
    <row r="214" spans="1:14">
      <c r="A214" s="531"/>
      <c r="B214" s="531"/>
      <c r="C214" s="531"/>
      <c r="D214" s="531"/>
      <c r="E214" s="531" t="s">
        <v>706</v>
      </c>
      <c r="F214" s="531"/>
      <c r="G214" s="531"/>
      <c r="H214" s="531"/>
      <c r="I214" s="531"/>
      <c r="J214" s="531"/>
      <c r="K214" s="531"/>
      <c r="L214" s="531"/>
      <c r="M214" s="531"/>
      <c r="N214" s="531"/>
    </row>
    <row r="215" spans="1:14">
      <c r="A215" s="531"/>
      <c r="B215" s="531"/>
      <c r="C215" s="531"/>
      <c r="D215" s="531"/>
      <c r="E215" s="531" t="s">
        <v>707</v>
      </c>
      <c r="F215" s="531"/>
      <c r="G215" s="531"/>
      <c r="H215" s="531"/>
      <c r="I215" s="531"/>
      <c r="J215" s="531"/>
      <c r="K215" s="531"/>
      <c r="L215" s="531"/>
      <c r="M215" s="531"/>
      <c r="N215" s="531"/>
    </row>
    <row r="216" spans="1:14">
      <c r="A216" s="531"/>
      <c r="B216" s="531"/>
      <c r="C216" s="531"/>
      <c r="D216" s="531"/>
      <c r="E216" s="531" t="s">
        <v>708</v>
      </c>
      <c r="F216" s="531"/>
      <c r="G216" s="531"/>
      <c r="H216" s="531"/>
      <c r="I216" s="531"/>
      <c r="J216" s="531"/>
      <c r="K216" s="531"/>
      <c r="L216" s="531"/>
      <c r="M216" s="531"/>
      <c r="N216" s="531"/>
    </row>
    <row r="217" spans="1:14">
      <c r="A217" s="531"/>
      <c r="B217" s="531"/>
      <c r="C217" s="531"/>
      <c r="D217" s="531"/>
      <c r="E217" s="531" t="s">
        <v>709</v>
      </c>
      <c r="F217" s="531"/>
      <c r="G217" s="531"/>
      <c r="H217" s="531"/>
      <c r="I217" s="531"/>
      <c r="J217" s="531"/>
      <c r="K217" s="531"/>
      <c r="L217" s="531"/>
      <c r="M217" s="531"/>
      <c r="N217" s="531"/>
    </row>
    <row r="218" spans="1:14">
      <c r="A218" s="531"/>
      <c r="B218" s="531"/>
      <c r="C218" s="531"/>
      <c r="D218" s="531"/>
      <c r="E218" s="531" t="s">
        <v>710</v>
      </c>
      <c r="F218" s="531"/>
      <c r="G218" s="531"/>
      <c r="H218" s="531"/>
      <c r="I218" s="531"/>
      <c r="J218" s="531"/>
      <c r="K218" s="531"/>
      <c r="L218" s="531"/>
      <c r="M218" s="531"/>
      <c r="N218" s="531"/>
    </row>
    <row r="219" spans="1:14">
      <c r="A219" s="531"/>
      <c r="B219" s="531"/>
      <c r="C219" s="531"/>
      <c r="D219" s="531"/>
      <c r="E219" s="531" t="s">
        <v>711</v>
      </c>
      <c r="F219" s="531"/>
      <c r="G219" s="531"/>
      <c r="H219" s="531"/>
      <c r="I219" s="531"/>
      <c r="J219" s="531"/>
      <c r="K219" s="531"/>
      <c r="L219" s="531"/>
      <c r="M219" s="531"/>
      <c r="N219" s="531"/>
    </row>
    <row r="220" spans="1:14">
      <c r="A220" s="531"/>
      <c r="B220" s="531"/>
      <c r="C220" s="531"/>
      <c r="D220" s="531"/>
      <c r="E220" s="531" t="s">
        <v>712</v>
      </c>
      <c r="F220" s="531"/>
      <c r="G220" s="531"/>
      <c r="H220" s="531"/>
      <c r="I220" s="531"/>
      <c r="J220" s="531"/>
      <c r="K220" s="531"/>
      <c r="L220" s="531"/>
      <c r="M220" s="531"/>
      <c r="N220" s="531"/>
    </row>
    <row r="221" spans="1:14">
      <c r="A221" s="531"/>
      <c r="B221" s="531"/>
      <c r="C221" s="531"/>
      <c r="D221" s="531"/>
      <c r="E221" s="531" t="s">
        <v>713</v>
      </c>
      <c r="F221" s="531"/>
      <c r="G221" s="531"/>
      <c r="H221" s="531"/>
      <c r="I221" s="531"/>
      <c r="J221" s="531"/>
      <c r="K221" s="531"/>
      <c r="L221" s="531"/>
      <c r="M221" s="531"/>
      <c r="N221" s="531"/>
    </row>
    <row r="222" spans="1:14">
      <c r="A222" s="531"/>
      <c r="B222" s="531"/>
      <c r="C222" s="531"/>
      <c r="D222" s="531"/>
      <c r="E222" s="531" t="s">
        <v>714</v>
      </c>
      <c r="F222" s="531"/>
      <c r="G222" s="531"/>
      <c r="H222" s="531"/>
      <c r="I222" s="531"/>
      <c r="J222" s="531"/>
      <c r="K222" s="531"/>
      <c r="L222" s="531"/>
      <c r="M222" s="531"/>
      <c r="N222" s="531"/>
    </row>
    <row r="223" spans="1:14">
      <c r="A223" s="531"/>
      <c r="B223" s="531"/>
      <c r="C223" s="531"/>
      <c r="D223" s="531"/>
      <c r="E223" s="531" t="s">
        <v>715</v>
      </c>
      <c r="F223" s="531"/>
      <c r="G223" s="531"/>
      <c r="H223" s="531"/>
      <c r="I223" s="531"/>
      <c r="J223" s="531"/>
      <c r="K223" s="531"/>
      <c r="L223" s="531"/>
      <c r="M223" s="531"/>
      <c r="N223" s="531"/>
    </row>
    <row r="224" spans="1:14">
      <c r="A224" s="531"/>
      <c r="B224" s="531"/>
      <c r="C224" s="531"/>
      <c r="D224" s="531"/>
      <c r="E224" s="531" t="s">
        <v>716</v>
      </c>
      <c r="F224" s="531"/>
      <c r="G224" s="531"/>
      <c r="H224" s="531"/>
      <c r="I224" s="531"/>
      <c r="J224" s="531"/>
      <c r="K224" s="531"/>
      <c r="L224" s="531"/>
      <c r="M224" s="531"/>
      <c r="N224" s="531"/>
    </row>
    <row r="225" spans="1:14">
      <c r="A225" s="531"/>
      <c r="B225" s="531"/>
      <c r="C225" s="531"/>
      <c r="D225" s="531"/>
      <c r="E225" s="531" t="s">
        <v>717</v>
      </c>
      <c r="F225" s="531"/>
      <c r="G225" s="531"/>
      <c r="H225" s="531"/>
      <c r="I225" s="531"/>
      <c r="J225" s="531"/>
      <c r="K225" s="531"/>
      <c r="L225" s="531"/>
      <c r="M225" s="531"/>
      <c r="N225" s="531"/>
    </row>
    <row r="226" spans="1:14">
      <c r="A226" s="531"/>
      <c r="B226" s="531"/>
      <c r="C226" s="531"/>
      <c r="D226" s="531"/>
      <c r="E226" s="531" t="s">
        <v>718</v>
      </c>
      <c r="F226" s="531"/>
      <c r="G226" s="531"/>
      <c r="H226" s="531"/>
      <c r="I226" s="531"/>
      <c r="J226" s="531"/>
      <c r="K226" s="531"/>
      <c r="L226" s="531"/>
      <c r="M226" s="531"/>
      <c r="N226" s="531"/>
    </row>
    <row r="227" spans="1:14">
      <c r="A227" s="531"/>
      <c r="B227" s="531"/>
      <c r="C227" s="531"/>
      <c r="D227" s="531"/>
      <c r="E227" s="531" t="s">
        <v>719</v>
      </c>
      <c r="F227" s="531"/>
      <c r="G227" s="531"/>
      <c r="H227" s="531"/>
      <c r="I227" s="531"/>
      <c r="J227" s="531"/>
      <c r="K227" s="531"/>
      <c r="L227" s="531"/>
      <c r="M227" s="531"/>
      <c r="N227" s="531"/>
    </row>
    <row r="228" spans="1:14">
      <c r="A228" s="531"/>
      <c r="B228" s="531"/>
      <c r="C228" s="531"/>
      <c r="D228" s="531"/>
      <c r="E228" s="531" t="s">
        <v>720</v>
      </c>
      <c r="F228" s="531"/>
      <c r="G228" s="531"/>
      <c r="H228" s="531"/>
      <c r="I228" s="531"/>
      <c r="J228" s="531"/>
      <c r="K228" s="531"/>
      <c r="L228" s="531"/>
      <c r="M228" s="531"/>
      <c r="N228" s="531"/>
    </row>
    <row r="229" spans="1:14">
      <c r="A229" s="531"/>
      <c r="B229" s="531"/>
      <c r="C229" s="531"/>
      <c r="D229" s="531"/>
      <c r="E229" s="531" t="s">
        <v>721</v>
      </c>
      <c r="F229" s="531"/>
      <c r="G229" s="531"/>
      <c r="H229" s="531"/>
      <c r="I229" s="531"/>
      <c r="J229" s="531"/>
      <c r="K229" s="531"/>
      <c r="L229" s="531"/>
      <c r="M229" s="531"/>
      <c r="N229" s="531"/>
    </row>
    <row r="230" spans="1:14">
      <c r="A230" s="531"/>
      <c r="B230" s="531"/>
      <c r="C230" s="531"/>
      <c r="D230" s="531"/>
      <c r="E230" s="531" t="s">
        <v>722</v>
      </c>
      <c r="F230" s="531"/>
      <c r="G230" s="531"/>
      <c r="H230" s="531"/>
      <c r="I230" s="531"/>
      <c r="J230" s="531"/>
      <c r="K230" s="531"/>
      <c r="L230" s="531"/>
      <c r="M230" s="531"/>
      <c r="N230" s="531"/>
    </row>
    <row r="231" spans="1:14">
      <c r="A231" s="531"/>
      <c r="B231" s="531"/>
      <c r="C231" s="531"/>
      <c r="D231" s="531"/>
      <c r="E231" s="531" t="s">
        <v>723</v>
      </c>
      <c r="F231" s="531"/>
      <c r="G231" s="531"/>
      <c r="H231" s="531"/>
      <c r="I231" s="531"/>
      <c r="J231" s="531"/>
      <c r="K231" s="531"/>
      <c r="L231" s="531"/>
      <c r="M231" s="531"/>
      <c r="N231" s="531"/>
    </row>
    <row r="232" spans="1:14">
      <c r="A232" s="531"/>
      <c r="B232" s="531"/>
      <c r="C232" s="531"/>
      <c r="D232" s="531"/>
      <c r="E232" s="531" t="s">
        <v>724</v>
      </c>
      <c r="F232" s="531"/>
      <c r="G232" s="531"/>
      <c r="H232" s="531"/>
      <c r="I232" s="531"/>
      <c r="J232" s="531"/>
      <c r="K232" s="531"/>
      <c r="L232" s="531"/>
      <c r="M232" s="531"/>
      <c r="N232" s="531"/>
    </row>
    <row r="233" spans="1:14">
      <c r="A233" s="531"/>
      <c r="B233" s="531"/>
      <c r="C233" s="531"/>
      <c r="D233" s="531"/>
      <c r="E233" s="531" t="s">
        <v>725</v>
      </c>
      <c r="F233" s="531"/>
      <c r="G233" s="531"/>
      <c r="H233" s="531"/>
      <c r="I233" s="531"/>
      <c r="J233" s="531"/>
      <c r="K233" s="531"/>
      <c r="L233" s="531"/>
      <c r="M233" s="531"/>
      <c r="N233" s="531"/>
    </row>
    <row r="234" spans="1:14">
      <c r="A234" s="531"/>
      <c r="B234" s="531"/>
      <c r="C234" s="531"/>
      <c r="D234" s="531"/>
      <c r="E234" s="531" t="s">
        <v>726</v>
      </c>
      <c r="F234" s="531"/>
      <c r="G234" s="531"/>
      <c r="H234" s="531"/>
      <c r="I234" s="531"/>
      <c r="J234" s="531"/>
      <c r="K234" s="531"/>
      <c r="L234" s="531"/>
      <c r="M234" s="531"/>
      <c r="N234" s="531"/>
    </row>
    <row r="235" spans="1:14">
      <c r="A235" s="531"/>
      <c r="B235" s="531"/>
      <c r="C235" s="531"/>
      <c r="D235" s="531"/>
      <c r="E235" s="531" t="s">
        <v>727</v>
      </c>
      <c r="F235" s="531"/>
      <c r="G235" s="531"/>
      <c r="H235" s="531"/>
      <c r="I235" s="531"/>
      <c r="J235" s="531"/>
      <c r="K235" s="531"/>
      <c r="L235" s="531"/>
      <c r="M235" s="531"/>
      <c r="N235" s="531"/>
    </row>
    <row r="236" spans="1:14">
      <c r="A236" s="531"/>
      <c r="B236" s="531"/>
      <c r="C236" s="531"/>
      <c r="D236" s="531"/>
      <c r="E236" s="531" t="s">
        <v>728</v>
      </c>
      <c r="F236" s="531"/>
      <c r="G236" s="531"/>
      <c r="H236" s="531"/>
      <c r="I236" s="531"/>
      <c r="J236" s="531"/>
      <c r="K236" s="531"/>
      <c r="L236" s="531"/>
      <c r="M236" s="531"/>
      <c r="N236" s="531"/>
    </row>
    <row r="237" spans="1:14">
      <c r="A237" s="531"/>
      <c r="B237" s="531"/>
      <c r="C237" s="531"/>
      <c r="D237" s="531"/>
      <c r="E237" s="531" t="s">
        <v>729</v>
      </c>
      <c r="F237" s="531"/>
      <c r="G237" s="531"/>
      <c r="H237" s="531"/>
      <c r="I237" s="531"/>
      <c r="J237" s="531"/>
      <c r="K237" s="531"/>
      <c r="L237" s="531"/>
      <c r="M237" s="531"/>
      <c r="N237" s="531"/>
    </row>
    <row r="238" spans="1:14">
      <c r="A238" s="531"/>
      <c r="B238" s="531"/>
      <c r="C238" s="531"/>
      <c r="D238" s="531"/>
      <c r="E238" s="531" t="s">
        <v>730</v>
      </c>
      <c r="F238" s="531"/>
      <c r="G238" s="531"/>
      <c r="H238" s="531"/>
      <c r="I238" s="531"/>
      <c r="J238" s="531"/>
      <c r="K238" s="531"/>
      <c r="L238" s="531"/>
      <c r="M238" s="531"/>
      <c r="N238" s="531"/>
    </row>
    <row r="239" spans="1:14">
      <c r="A239" s="531"/>
      <c r="B239" s="531"/>
      <c r="C239" s="531"/>
      <c r="D239" s="531"/>
      <c r="E239" s="531" t="s">
        <v>731</v>
      </c>
      <c r="F239" s="531"/>
      <c r="G239" s="531"/>
      <c r="H239" s="531"/>
      <c r="I239" s="531"/>
      <c r="J239" s="531"/>
      <c r="K239" s="531"/>
      <c r="L239" s="531"/>
      <c r="M239" s="531"/>
      <c r="N239" s="531"/>
    </row>
    <row r="240" spans="1:14">
      <c r="A240" s="531"/>
      <c r="B240" s="531"/>
      <c r="C240" s="531"/>
      <c r="D240" s="531"/>
      <c r="E240" s="531" t="s">
        <v>509</v>
      </c>
      <c r="F240" s="531"/>
      <c r="G240" s="531"/>
      <c r="H240" s="531"/>
      <c r="I240" s="531"/>
      <c r="J240" s="531"/>
      <c r="K240" s="531"/>
      <c r="L240" s="531"/>
      <c r="M240" s="531"/>
      <c r="N240" s="531"/>
    </row>
    <row r="241" spans="1:14">
      <c r="A241" s="531"/>
      <c r="B241" s="531"/>
      <c r="C241" s="531"/>
      <c r="D241" s="531"/>
      <c r="E241" s="531" t="s">
        <v>732</v>
      </c>
      <c r="F241" s="531"/>
      <c r="G241" s="531"/>
      <c r="H241" s="531"/>
      <c r="I241" s="531"/>
      <c r="J241" s="531"/>
      <c r="K241" s="531"/>
      <c r="L241" s="531"/>
      <c r="M241" s="531"/>
      <c r="N241" s="531"/>
    </row>
    <row r="242" spans="1:14">
      <c r="A242" s="531"/>
      <c r="B242" s="531"/>
      <c r="C242" s="531"/>
      <c r="D242" s="531"/>
      <c r="E242" s="531" t="s">
        <v>733</v>
      </c>
      <c r="F242" s="531"/>
      <c r="G242" s="531"/>
      <c r="H242" s="531"/>
      <c r="I242" s="531"/>
      <c r="J242" s="531"/>
      <c r="K242" s="531"/>
      <c r="L242" s="531"/>
      <c r="M242" s="531"/>
      <c r="N242" s="531"/>
    </row>
    <row r="243" spans="1:14">
      <c r="A243" s="531"/>
      <c r="B243" s="531"/>
      <c r="C243" s="531"/>
      <c r="D243" s="531"/>
      <c r="E243" s="531" t="s">
        <v>734</v>
      </c>
      <c r="F243" s="531"/>
      <c r="G243" s="531"/>
      <c r="H243" s="531"/>
      <c r="I243" s="531"/>
      <c r="J243" s="531"/>
      <c r="K243" s="531"/>
      <c r="L243" s="531"/>
      <c r="M243" s="531"/>
      <c r="N243" s="531"/>
    </row>
    <row r="244" spans="1:14">
      <c r="A244" s="531"/>
      <c r="B244" s="531"/>
      <c r="C244" s="531"/>
      <c r="D244" s="531"/>
      <c r="E244" s="531" t="s">
        <v>735</v>
      </c>
      <c r="F244" s="531"/>
      <c r="G244" s="531"/>
      <c r="H244" s="531"/>
      <c r="I244" s="531"/>
      <c r="J244" s="531"/>
      <c r="K244" s="531"/>
      <c r="L244" s="531"/>
      <c r="M244" s="531"/>
      <c r="N244" s="531"/>
    </row>
    <row r="245" spans="1:14">
      <c r="A245" s="531"/>
      <c r="B245" s="531"/>
      <c r="C245" s="531"/>
      <c r="D245" s="531"/>
      <c r="E245" s="531" t="s">
        <v>736</v>
      </c>
      <c r="F245" s="531"/>
      <c r="G245" s="531"/>
      <c r="H245" s="531"/>
      <c r="I245" s="531"/>
      <c r="J245" s="531"/>
      <c r="K245" s="531"/>
      <c r="L245" s="531"/>
      <c r="M245" s="531"/>
      <c r="N245" s="531"/>
    </row>
    <row r="246" spans="1:14">
      <c r="A246" s="531"/>
      <c r="B246" s="531"/>
      <c r="C246" s="531"/>
      <c r="D246" s="531"/>
      <c r="E246" s="531" t="s">
        <v>737</v>
      </c>
      <c r="F246" s="531"/>
      <c r="G246" s="531"/>
      <c r="H246" s="531"/>
      <c r="I246" s="531"/>
      <c r="J246" s="531"/>
      <c r="K246" s="531"/>
      <c r="L246" s="531"/>
      <c r="M246" s="531"/>
      <c r="N246" s="531"/>
    </row>
    <row r="247" spans="1:14">
      <c r="A247" s="531"/>
      <c r="B247" s="531"/>
      <c r="C247" s="531"/>
      <c r="D247" s="531"/>
      <c r="E247" s="531" t="s">
        <v>738</v>
      </c>
      <c r="F247" s="531"/>
      <c r="G247" s="531"/>
      <c r="H247" s="531"/>
      <c r="I247" s="531"/>
      <c r="J247" s="531"/>
      <c r="K247" s="531"/>
      <c r="L247" s="531"/>
      <c r="M247" s="531"/>
      <c r="N247" s="531"/>
    </row>
    <row r="248" spans="1:14">
      <c r="A248" s="531"/>
      <c r="B248" s="531"/>
      <c r="C248" s="531"/>
      <c r="D248" s="531"/>
      <c r="E248" s="531" t="s">
        <v>739</v>
      </c>
      <c r="F248" s="531"/>
      <c r="G248" s="531"/>
      <c r="H248" s="531"/>
      <c r="I248" s="531"/>
      <c r="J248" s="531"/>
      <c r="K248" s="531"/>
      <c r="L248" s="531"/>
      <c r="M248" s="531"/>
      <c r="N248" s="531"/>
    </row>
    <row r="249" spans="1:14">
      <c r="A249" s="531"/>
      <c r="B249" s="531"/>
      <c r="C249" s="531"/>
      <c r="D249" s="531"/>
      <c r="E249" s="531" t="s">
        <v>740</v>
      </c>
      <c r="F249" s="531"/>
      <c r="G249" s="531"/>
      <c r="H249" s="531"/>
      <c r="I249" s="531"/>
      <c r="J249" s="531"/>
      <c r="K249" s="531"/>
      <c r="L249" s="531"/>
      <c r="M249" s="531"/>
      <c r="N249" s="531"/>
    </row>
    <row r="250" spans="1:14">
      <c r="A250" s="531"/>
      <c r="B250" s="531"/>
      <c r="C250" s="531"/>
      <c r="D250" s="531"/>
      <c r="E250" s="531" t="s">
        <v>741</v>
      </c>
      <c r="F250" s="531"/>
      <c r="G250" s="531"/>
      <c r="H250" s="531"/>
      <c r="I250" s="531"/>
      <c r="J250" s="531"/>
      <c r="K250" s="531"/>
      <c r="L250" s="531"/>
      <c r="M250" s="531"/>
      <c r="N250" s="531"/>
    </row>
    <row r="251" spans="1:14">
      <c r="A251" s="531"/>
      <c r="B251" s="531"/>
      <c r="C251" s="531"/>
      <c r="D251" s="531"/>
      <c r="E251" s="531" t="s">
        <v>742</v>
      </c>
      <c r="F251" s="531"/>
      <c r="G251" s="531"/>
      <c r="H251" s="531"/>
      <c r="I251" s="531"/>
      <c r="J251" s="531"/>
      <c r="K251" s="531"/>
      <c r="L251" s="531"/>
      <c r="M251" s="531"/>
      <c r="N251" s="531"/>
    </row>
    <row r="252" spans="1:14">
      <c r="A252" s="531"/>
      <c r="B252" s="531"/>
      <c r="C252" s="531"/>
      <c r="D252" s="531"/>
      <c r="E252" s="531" t="s">
        <v>743</v>
      </c>
      <c r="F252" s="531"/>
      <c r="G252" s="531"/>
      <c r="H252" s="531"/>
      <c r="I252" s="531"/>
      <c r="J252" s="531"/>
      <c r="K252" s="531"/>
      <c r="L252" s="531"/>
      <c r="M252" s="531"/>
      <c r="N252" s="531"/>
    </row>
    <row r="253" spans="1:14">
      <c r="A253" s="531"/>
      <c r="B253" s="531"/>
      <c r="C253" s="531"/>
      <c r="D253" s="531"/>
      <c r="E253" s="531" t="s">
        <v>744</v>
      </c>
      <c r="F253" s="531"/>
      <c r="G253" s="531"/>
      <c r="H253" s="531"/>
      <c r="I253" s="531"/>
      <c r="J253" s="531"/>
      <c r="K253" s="531"/>
      <c r="L253" s="531"/>
      <c r="M253" s="531"/>
      <c r="N253" s="531"/>
    </row>
    <row r="254" spans="1:14">
      <c r="A254" s="531"/>
      <c r="B254" s="531"/>
      <c r="C254" s="531"/>
      <c r="D254" s="531"/>
      <c r="E254" s="531" t="s">
        <v>745</v>
      </c>
      <c r="F254" s="531"/>
      <c r="G254" s="531"/>
      <c r="H254" s="531"/>
      <c r="I254" s="531"/>
      <c r="J254" s="531"/>
      <c r="K254" s="531"/>
      <c r="L254" s="531"/>
      <c r="M254" s="531"/>
      <c r="N254" s="531"/>
    </row>
    <row r="255" spans="1:14">
      <c r="A255" s="531"/>
      <c r="B255" s="531"/>
      <c r="C255" s="531"/>
      <c r="D255" s="531"/>
      <c r="E255" s="531" t="s">
        <v>746</v>
      </c>
      <c r="F255" s="531"/>
      <c r="G255" s="531"/>
      <c r="H255" s="531"/>
      <c r="I255" s="531"/>
      <c r="J255" s="531"/>
      <c r="K255" s="531"/>
      <c r="L255" s="531"/>
      <c r="M255" s="531"/>
      <c r="N255" s="531"/>
    </row>
    <row r="256" spans="1:14">
      <c r="A256" s="531"/>
      <c r="B256" s="531"/>
      <c r="C256" s="531"/>
      <c r="D256" s="531"/>
      <c r="E256" s="531" t="s">
        <v>747</v>
      </c>
      <c r="F256" s="531"/>
      <c r="G256" s="531"/>
      <c r="H256" s="531"/>
      <c r="I256" s="531"/>
      <c r="J256" s="531"/>
      <c r="K256" s="531"/>
      <c r="L256" s="531"/>
      <c r="M256" s="531"/>
      <c r="N256" s="531"/>
    </row>
    <row r="257" spans="1:14">
      <c r="A257" s="531"/>
      <c r="B257" s="531"/>
      <c r="C257" s="531"/>
      <c r="D257" s="531"/>
      <c r="E257" s="531" t="s">
        <v>748</v>
      </c>
      <c r="F257" s="531"/>
      <c r="G257" s="531"/>
      <c r="H257" s="531"/>
      <c r="I257" s="531"/>
      <c r="J257" s="531"/>
      <c r="K257" s="531"/>
      <c r="L257" s="531"/>
      <c r="M257" s="531"/>
      <c r="N257" s="531"/>
    </row>
    <row r="258" spans="1:14">
      <c r="A258" s="531"/>
      <c r="B258" s="531"/>
      <c r="C258" s="531"/>
      <c r="D258" s="531"/>
      <c r="E258" s="531" t="s">
        <v>749</v>
      </c>
      <c r="F258" s="531"/>
      <c r="G258" s="531"/>
      <c r="H258" s="531"/>
      <c r="I258" s="531"/>
      <c r="J258" s="531"/>
      <c r="K258" s="531"/>
      <c r="L258" s="531"/>
      <c r="M258" s="531"/>
      <c r="N258" s="531"/>
    </row>
    <row r="259" spans="1:14">
      <c r="A259" s="531"/>
      <c r="B259" s="531"/>
      <c r="C259" s="531"/>
      <c r="D259" s="531"/>
      <c r="E259" s="531" t="s">
        <v>750</v>
      </c>
      <c r="F259" s="531"/>
      <c r="G259" s="531"/>
      <c r="H259" s="531"/>
      <c r="I259" s="531"/>
      <c r="J259" s="531"/>
      <c r="K259" s="531"/>
      <c r="L259" s="531"/>
      <c r="M259" s="531"/>
      <c r="N259" s="531"/>
    </row>
    <row r="260" spans="1:14">
      <c r="A260" s="531"/>
      <c r="B260" s="531"/>
      <c r="C260" s="531"/>
      <c r="D260" s="531"/>
      <c r="E260" s="531" t="s">
        <v>751</v>
      </c>
      <c r="F260" s="531"/>
      <c r="G260" s="531"/>
      <c r="H260" s="531"/>
      <c r="I260" s="531"/>
      <c r="J260" s="531"/>
      <c r="K260" s="531"/>
      <c r="L260" s="531"/>
      <c r="M260" s="531"/>
      <c r="N260" s="531"/>
    </row>
    <row r="261" spans="1:14">
      <c r="A261" s="531"/>
      <c r="B261" s="531"/>
      <c r="C261" s="531"/>
      <c r="D261" s="531"/>
      <c r="E261" s="531" t="s">
        <v>752</v>
      </c>
      <c r="F261" s="531"/>
      <c r="G261" s="531"/>
      <c r="H261" s="531"/>
      <c r="I261" s="531"/>
      <c r="J261" s="531"/>
      <c r="K261" s="531"/>
      <c r="L261" s="531"/>
      <c r="M261" s="531"/>
      <c r="N261" s="531"/>
    </row>
    <row r="262" spans="1:14">
      <c r="A262" s="531"/>
      <c r="B262" s="531"/>
      <c r="C262" s="531"/>
      <c r="D262" s="531"/>
      <c r="E262" s="531" t="s">
        <v>753</v>
      </c>
      <c r="F262" s="531"/>
      <c r="G262" s="531"/>
      <c r="H262" s="531"/>
      <c r="I262" s="531"/>
      <c r="J262" s="531"/>
      <c r="K262" s="531"/>
      <c r="L262" s="531"/>
      <c r="M262" s="531"/>
      <c r="N262" s="531"/>
    </row>
    <row r="263" spans="1:14">
      <c r="A263" s="531"/>
      <c r="B263" s="531"/>
      <c r="C263" s="531"/>
      <c r="D263" s="531"/>
      <c r="E263" s="531" t="s">
        <v>754</v>
      </c>
      <c r="F263" s="531"/>
      <c r="G263" s="531"/>
      <c r="H263" s="531"/>
      <c r="I263" s="531"/>
      <c r="J263" s="531"/>
      <c r="K263" s="531"/>
      <c r="L263" s="531"/>
      <c r="M263" s="531"/>
      <c r="N263" s="531"/>
    </row>
    <row r="264" spans="1:14">
      <c r="A264" s="531"/>
      <c r="B264" s="531"/>
      <c r="C264" s="531"/>
      <c r="D264" s="531"/>
      <c r="E264" s="531" t="s">
        <v>755</v>
      </c>
      <c r="F264" s="531"/>
      <c r="G264" s="531"/>
      <c r="H264" s="531"/>
      <c r="I264" s="531"/>
      <c r="J264" s="531"/>
      <c r="K264" s="531"/>
      <c r="L264" s="531"/>
      <c r="M264" s="531"/>
      <c r="N264" s="531"/>
    </row>
    <row r="265" spans="1:14">
      <c r="A265" s="531"/>
      <c r="B265" s="531"/>
      <c r="C265" s="531"/>
      <c r="D265" s="531"/>
      <c r="E265" s="531" t="s">
        <v>756</v>
      </c>
      <c r="F265" s="531"/>
      <c r="G265" s="531"/>
      <c r="H265" s="531"/>
      <c r="I265" s="531"/>
      <c r="J265" s="531"/>
      <c r="K265" s="531"/>
      <c r="L265" s="531"/>
      <c r="M265" s="531"/>
      <c r="N265" s="531"/>
    </row>
    <row r="266" spans="1:14">
      <c r="A266" s="531"/>
      <c r="B266" s="531"/>
      <c r="C266" s="531"/>
      <c r="D266" s="531"/>
      <c r="E266" s="531" t="s">
        <v>757</v>
      </c>
      <c r="F266" s="531"/>
      <c r="G266" s="531"/>
      <c r="H266" s="531"/>
      <c r="I266" s="531"/>
      <c r="J266" s="531"/>
      <c r="K266" s="531"/>
      <c r="L266" s="531"/>
      <c r="M266" s="531"/>
      <c r="N266" s="531"/>
    </row>
    <row r="267" spans="1:14">
      <c r="A267" s="531"/>
      <c r="B267" s="531"/>
      <c r="C267" s="531"/>
      <c r="D267" s="531"/>
      <c r="E267" s="531" t="s">
        <v>758</v>
      </c>
      <c r="F267" s="531"/>
      <c r="G267" s="531"/>
      <c r="H267" s="531"/>
      <c r="I267" s="531"/>
      <c r="J267" s="531"/>
      <c r="K267" s="531"/>
      <c r="L267" s="531"/>
      <c r="M267" s="531"/>
      <c r="N267" s="531"/>
    </row>
    <row r="268" spans="1:14">
      <c r="A268" s="531"/>
      <c r="B268" s="531"/>
      <c r="C268" s="531"/>
      <c r="D268" s="531"/>
      <c r="E268" s="531" t="s">
        <v>759</v>
      </c>
      <c r="F268" s="531"/>
      <c r="G268" s="531"/>
      <c r="H268" s="531"/>
      <c r="I268" s="531"/>
      <c r="J268" s="531"/>
      <c r="K268" s="531"/>
      <c r="L268" s="531"/>
      <c r="M268" s="531"/>
      <c r="N268" s="531"/>
    </row>
    <row r="269" spans="1:14">
      <c r="A269" s="531"/>
      <c r="B269" s="531"/>
      <c r="C269" s="531"/>
      <c r="D269" s="531"/>
      <c r="E269" s="531" t="s">
        <v>760</v>
      </c>
      <c r="F269" s="531"/>
      <c r="G269" s="531"/>
      <c r="H269" s="531"/>
      <c r="I269" s="531"/>
      <c r="J269" s="531"/>
      <c r="K269" s="531"/>
      <c r="L269" s="531"/>
      <c r="M269" s="531"/>
      <c r="N269" s="531"/>
    </row>
    <row r="270" spans="1:14">
      <c r="A270" s="531"/>
      <c r="B270" s="531"/>
      <c r="C270" s="531"/>
      <c r="D270" s="531"/>
      <c r="E270" s="531" t="s">
        <v>761</v>
      </c>
      <c r="F270" s="531"/>
      <c r="G270" s="531"/>
      <c r="H270" s="531"/>
      <c r="I270" s="531"/>
      <c r="J270" s="531"/>
      <c r="K270" s="531"/>
      <c r="L270" s="531"/>
      <c r="M270" s="531"/>
      <c r="N270" s="531"/>
    </row>
    <row r="271" spans="1:14">
      <c r="A271" s="531"/>
      <c r="B271" s="531"/>
      <c r="C271" s="531"/>
      <c r="D271" s="531"/>
      <c r="E271" s="531" t="s">
        <v>762</v>
      </c>
      <c r="F271" s="531"/>
      <c r="G271" s="531"/>
      <c r="H271" s="531"/>
      <c r="I271" s="531"/>
      <c r="J271" s="531"/>
      <c r="K271" s="531"/>
      <c r="L271" s="531"/>
      <c r="M271" s="531"/>
      <c r="N271" s="531"/>
    </row>
    <row r="272" spans="1:14">
      <c r="A272" s="531"/>
      <c r="B272" s="531"/>
      <c r="C272" s="531"/>
      <c r="D272" s="531"/>
      <c r="E272" s="531" t="s">
        <v>763</v>
      </c>
      <c r="F272" s="531"/>
      <c r="G272" s="531"/>
      <c r="H272" s="531"/>
      <c r="I272" s="531"/>
      <c r="J272" s="531"/>
      <c r="K272" s="531"/>
      <c r="L272" s="531"/>
      <c r="M272" s="531"/>
      <c r="N272" s="531"/>
    </row>
    <row r="273" spans="1:14">
      <c r="A273" s="531"/>
      <c r="B273" s="531"/>
      <c r="C273" s="531"/>
      <c r="D273" s="531"/>
      <c r="E273" s="531" t="s">
        <v>764</v>
      </c>
      <c r="F273" s="531"/>
      <c r="G273" s="531"/>
      <c r="H273" s="531"/>
      <c r="I273" s="531"/>
      <c r="J273" s="531"/>
      <c r="K273" s="531"/>
      <c r="L273" s="531"/>
      <c r="M273" s="531"/>
      <c r="N273" s="531"/>
    </row>
    <row r="274" spans="1:14">
      <c r="A274" s="531"/>
      <c r="B274" s="531"/>
      <c r="C274" s="531"/>
      <c r="D274" s="531"/>
      <c r="E274" s="531" t="s">
        <v>765</v>
      </c>
      <c r="F274" s="531"/>
      <c r="G274" s="531"/>
      <c r="H274" s="531"/>
      <c r="I274" s="531"/>
      <c r="J274" s="531"/>
      <c r="K274" s="531"/>
      <c r="L274" s="531"/>
      <c r="M274" s="531"/>
      <c r="N274" s="531"/>
    </row>
    <row r="275" spans="1:14">
      <c r="A275" s="531"/>
      <c r="B275" s="531"/>
      <c r="C275" s="531"/>
      <c r="D275" s="531"/>
      <c r="E275" s="531" t="s">
        <v>766</v>
      </c>
      <c r="F275" s="531"/>
      <c r="G275" s="531"/>
      <c r="H275" s="531"/>
      <c r="I275" s="531"/>
      <c r="J275" s="531"/>
      <c r="K275" s="531"/>
      <c r="L275" s="531"/>
      <c r="M275" s="531"/>
      <c r="N275" s="531"/>
    </row>
    <row r="276" spans="1:14">
      <c r="A276" s="531"/>
      <c r="B276" s="531"/>
      <c r="C276" s="531"/>
      <c r="D276" s="531"/>
      <c r="E276" s="531" t="s">
        <v>767</v>
      </c>
      <c r="F276" s="531"/>
      <c r="G276" s="531"/>
      <c r="H276" s="531"/>
      <c r="I276" s="531"/>
      <c r="J276" s="531"/>
      <c r="K276" s="531"/>
      <c r="L276" s="531"/>
      <c r="M276" s="531"/>
      <c r="N276" s="531"/>
    </row>
    <row r="277" spans="1:14">
      <c r="A277" s="531"/>
      <c r="B277" s="531"/>
      <c r="C277" s="531"/>
      <c r="D277" s="531"/>
      <c r="E277" s="531" t="s">
        <v>768</v>
      </c>
      <c r="F277" s="531"/>
      <c r="G277" s="531"/>
      <c r="H277" s="531"/>
      <c r="I277" s="531"/>
      <c r="J277" s="531"/>
      <c r="K277" s="531"/>
      <c r="L277" s="531"/>
      <c r="M277" s="531"/>
      <c r="N277" s="531"/>
    </row>
    <row r="278" spans="1:14">
      <c r="A278" s="531"/>
      <c r="B278" s="531"/>
      <c r="C278" s="531"/>
      <c r="D278" s="531"/>
      <c r="E278" s="531" t="s">
        <v>769</v>
      </c>
      <c r="F278" s="531"/>
      <c r="G278" s="531"/>
      <c r="H278" s="531"/>
      <c r="I278" s="531"/>
      <c r="J278" s="531"/>
      <c r="K278" s="531"/>
      <c r="L278" s="531"/>
      <c r="M278" s="531"/>
      <c r="N278" s="531"/>
    </row>
    <row r="279" spans="1:14">
      <c r="A279" s="531"/>
      <c r="B279" s="531"/>
      <c r="C279" s="531"/>
      <c r="D279" s="531"/>
      <c r="E279" s="531" t="s">
        <v>770</v>
      </c>
      <c r="F279" s="531"/>
      <c r="G279" s="531"/>
      <c r="H279" s="531"/>
      <c r="I279" s="531"/>
      <c r="J279" s="531"/>
      <c r="K279" s="531"/>
      <c r="L279" s="531"/>
      <c r="M279" s="531"/>
      <c r="N279" s="531"/>
    </row>
    <row r="280" spans="1:14">
      <c r="A280" s="531"/>
      <c r="B280" s="531"/>
      <c r="C280" s="531"/>
      <c r="D280" s="531"/>
      <c r="E280" s="531" t="s">
        <v>771</v>
      </c>
      <c r="F280" s="531"/>
      <c r="G280" s="531"/>
      <c r="H280" s="531"/>
      <c r="I280" s="531"/>
      <c r="J280" s="531"/>
      <c r="K280" s="531"/>
      <c r="L280" s="531"/>
      <c r="M280" s="531"/>
      <c r="N280" s="531"/>
    </row>
    <row r="281" spans="1:14">
      <c r="A281" s="531"/>
      <c r="B281" s="531"/>
      <c r="C281" s="531"/>
      <c r="D281" s="531"/>
      <c r="E281" s="531" t="s">
        <v>772</v>
      </c>
      <c r="F281" s="531"/>
      <c r="G281" s="531"/>
      <c r="H281" s="531"/>
      <c r="I281" s="531"/>
      <c r="J281" s="531"/>
      <c r="K281" s="531"/>
      <c r="L281" s="531"/>
      <c r="M281" s="531"/>
      <c r="N281" s="531"/>
    </row>
    <row r="282" spans="1:14">
      <c r="A282" s="531"/>
      <c r="B282" s="531"/>
      <c r="C282" s="531"/>
      <c r="D282" s="531"/>
      <c r="E282" s="531" t="s">
        <v>773</v>
      </c>
      <c r="F282" s="531"/>
      <c r="G282" s="531"/>
      <c r="H282" s="531"/>
      <c r="I282" s="531"/>
      <c r="J282" s="531"/>
      <c r="K282" s="531"/>
      <c r="L282" s="531"/>
      <c r="M282" s="531"/>
      <c r="N282" s="531"/>
    </row>
    <row r="283" spans="1:14">
      <c r="A283" s="531"/>
      <c r="B283" s="531"/>
      <c r="C283" s="531"/>
      <c r="D283" s="531"/>
      <c r="E283" s="531" t="s">
        <v>774</v>
      </c>
      <c r="F283" s="531"/>
      <c r="G283" s="531"/>
      <c r="H283" s="531"/>
      <c r="I283" s="531"/>
      <c r="J283" s="531"/>
      <c r="K283" s="531"/>
      <c r="L283" s="531"/>
      <c r="M283" s="531"/>
      <c r="N283" s="531"/>
    </row>
    <row r="284" spans="1:14">
      <c r="A284" s="531"/>
      <c r="B284" s="531"/>
      <c r="C284" s="531"/>
      <c r="D284" s="531"/>
      <c r="E284" s="531" t="s">
        <v>775</v>
      </c>
      <c r="F284" s="531"/>
      <c r="G284" s="531"/>
      <c r="H284" s="531"/>
      <c r="I284" s="531"/>
      <c r="J284" s="531"/>
      <c r="K284" s="531"/>
      <c r="L284" s="531"/>
      <c r="M284" s="531"/>
      <c r="N284" s="531"/>
    </row>
    <row r="285" spans="1:14">
      <c r="A285" s="531"/>
      <c r="B285" s="531"/>
      <c r="C285" s="531"/>
      <c r="D285" s="531"/>
      <c r="E285" s="531" t="s">
        <v>776</v>
      </c>
      <c r="F285" s="531"/>
      <c r="G285" s="531"/>
      <c r="H285" s="531"/>
      <c r="I285" s="531"/>
      <c r="J285" s="531"/>
      <c r="K285" s="531"/>
      <c r="L285" s="531"/>
      <c r="M285" s="531"/>
      <c r="N285" s="531"/>
    </row>
    <row r="286" spans="1:14">
      <c r="A286" s="531"/>
      <c r="B286" s="531"/>
      <c r="C286" s="531"/>
      <c r="D286" s="531"/>
      <c r="E286" s="531" t="s">
        <v>777</v>
      </c>
      <c r="F286" s="531"/>
      <c r="G286" s="531"/>
      <c r="H286" s="531"/>
      <c r="I286" s="531"/>
      <c r="J286" s="531"/>
      <c r="K286" s="531"/>
      <c r="L286" s="531"/>
      <c r="M286" s="531"/>
      <c r="N286" s="531"/>
    </row>
    <row r="287" spans="1:14">
      <c r="A287" s="531"/>
      <c r="B287" s="531"/>
      <c r="C287" s="531"/>
      <c r="D287" s="531"/>
      <c r="E287" s="531" t="s">
        <v>778</v>
      </c>
      <c r="F287" s="531"/>
      <c r="G287" s="531"/>
      <c r="H287" s="531"/>
      <c r="I287" s="531"/>
      <c r="J287" s="531"/>
      <c r="K287" s="531"/>
      <c r="L287" s="531"/>
      <c r="M287" s="531"/>
      <c r="N287" s="531"/>
    </row>
    <row r="288" spans="1:14">
      <c r="A288" s="531"/>
      <c r="B288" s="531"/>
      <c r="C288" s="531"/>
      <c r="D288" s="531"/>
      <c r="E288" s="531" t="s">
        <v>779</v>
      </c>
      <c r="F288" s="531"/>
      <c r="G288" s="531"/>
      <c r="H288" s="531"/>
      <c r="I288" s="531"/>
      <c r="J288" s="531"/>
      <c r="K288" s="531"/>
      <c r="L288" s="531"/>
      <c r="M288" s="531"/>
      <c r="N288" s="531"/>
    </row>
    <row r="289" spans="1:14">
      <c r="A289" s="531"/>
      <c r="B289" s="531"/>
      <c r="C289" s="531"/>
      <c r="D289" s="531"/>
      <c r="E289" s="531" t="s">
        <v>780</v>
      </c>
      <c r="F289" s="531"/>
      <c r="G289" s="531"/>
      <c r="H289" s="531"/>
      <c r="I289" s="531"/>
      <c r="J289" s="531"/>
      <c r="K289" s="531"/>
      <c r="L289" s="531"/>
      <c r="M289" s="531"/>
      <c r="N289" s="531"/>
    </row>
    <row r="290" spans="1:14">
      <c r="A290" s="531"/>
      <c r="B290" s="531"/>
      <c r="C290" s="531"/>
      <c r="D290" s="531"/>
      <c r="E290" s="531" t="s">
        <v>781</v>
      </c>
      <c r="F290" s="531"/>
      <c r="G290" s="531"/>
      <c r="H290" s="531"/>
      <c r="I290" s="531"/>
      <c r="J290" s="531"/>
      <c r="K290" s="531"/>
      <c r="L290" s="531"/>
      <c r="M290" s="531"/>
      <c r="N290" s="531"/>
    </row>
    <row r="291" spans="1:14">
      <c r="A291" s="531"/>
      <c r="B291" s="531"/>
      <c r="C291" s="531"/>
      <c r="D291" s="531"/>
      <c r="E291" s="531" t="s">
        <v>782</v>
      </c>
      <c r="F291" s="531"/>
      <c r="G291" s="531"/>
      <c r="H291" s="531"/>
      <c r="I291" s="531"/>
      <c r="J291" s="531"/>
      <c r="K291" s="531"/>
      <c r="L291" s="531"/>
      <c r="M291" s="531"/>
      <c r="N291" s="531"/>
    </row>
    <row r="292" spans="1:14">
      <c r="A292" s="531"/>
      <c r="B292" s="531"/>
      <c r="C292" s="531"/>
      <c r="D292" s="531"/>
      <c r="E292" s="531" t="s">
        <v>783</v>
      </c>
      <c r="F292" s="531"/>
      <c r="G292" s="531"/>
      <c r="H292" s="531"/>
      <c r="I292" s="531"/>
      <c r="J292" s="531"/>
      <c r="K292" s="531"/>
      <c r="L292" s="531"/>
      <c r="M292" s="531"/>
      <c r="N292" s="531"/>
    </row>
    <row r="293" spans="1:14">
      <c r="A293" s="531"/>
      <c r="B293" s="531"/>
      <c r="C293" s="531"/>
      <c r="D293" s="531"/>
      <c r="E293" s="531" t="s">
        <v>784</v>
      </c>
      <c r="F293" s="531"/>
      <c r="G293" s="531"/>
      <c r="H293" s="531"/>
      <c r="I293" s="531"/>
      <c r="J293" s="531"/>
      <c r="K293" s="531"/>
      <c r="L293" s="531"/>
      <c r="M293" s="531"/>
      <c r="N293" s="531"/>
    </row>
    <row r="294" spans="1:14">
      <c r="A294" s="531"/>
      <c r="B294" s="531"/>
      <c r="C294" s="531"/>
      <c r="D294" s="531"/>
      <c r="E294" s="531" t="s">
        <v>785</v>
      </c>
      <c r="F294" s="531"/>
      <c r="G294" s="531"/>
      <c r="H294" s="531"/>
      <c r="I294" s="531"/>
      <c r="J294" s="531"/>
      <c r="K294" s="531"/>
      <c r="L294" s="531"/>
      <c r="M294" s="531"/>
      <c r="N294" s="531"/>
    </row>
    <row r="295" spans="1:14">
      <c r="A295" s="531"/>
      <c r="B295" s="531"/>
      <c r="C295" s="531"/>
      <c r="D295" s="531"/>
      <c r="E295" s="531" t="s">
        <v>786</v>
      </c>
      <c r="F295" s="531"/>
      <c r="G295" s="531"/>
      <c r="H295" s="531"/>
      <c r="I295" s="531"/>
      <c r="J295" s="531"/>
      <c r="K295" s="531"/>
      <c r="L295" s="531"/>
      <c r="M295" s="531"/>
      <c r="N295" s="531"/>
    </row>
    <row r="296" spans="1:14">
      <c r="A296" s="531"/>
      <c r="B296" s="531"/>
      <c r="C296" s="531"/>
      <c r="D296" s="531"/>
      <c r="E296" s="531" t="s">
        <v>787</v>
      </c>
      <c r="F296" s="531"/>
      <c r="G296" s="531"/>
      <c r="H296" s="531"/>
      <c r="I296" s="531"/>
      <c r="J296" s="531"/>
      <c r="K296" s="531"/>
      <c r="L296" s="531"/>
      <c r="M296" s="531"/>
      <c r="N296" s="531"/>
    </row>
    <row r="297" spans="1:14">
      <c r="A297" s="531"/>
      <c r="B297" s="531"/>
      <c r="C297" s="531"/>
      <c r="D297" s="531"/>
      <c r="E297" s="531" t="s">
        <v>788</v>
      </c>
      <c r="F297" s="531"/>
      <c r="G297" s="531"/>
      <c r="H297" s="531"/>
      <c r="I297" s="531"/>
      <c r="J297" s="531"/>
      <c r="K297" s="531"/>
      <c r="L297" s="531"/>
      <c r="M297" s="531"/>
      <c r="N297" s="531"/>
    </row>
    <row r="298" spans="1:14">
      <c r="A298" s="531"/>
      <c r="B298" s="531"/>
      <c r="C298" s="531"/>
      <c r="D298" s="531"/>
      <c r="E298" s="531" t="s">
        <v>789</v>
      </c>
      <c r="F298" s="531"/>
      <c r="G298" s="531"/>
      <c r="H298" s="531"/>
      <c r="I298" s="531"/>
      <c r="J298" s="531"/>
      <c r="K298" s="531"/>
      <c r="L298" s="531"/>
      <c r="M298" s="531"/>
      <c r="N298" s="531"/>
    </row>
    <row r="299" spans="1:14">
      <c r="A299" s="531"/>
      <c r="B299" s="531"/>
      <c r="C299" s="531"/>
      <c r="D299" s="531"/>
      <c r="E299" s="531" t="s">
        <v>790</v>
      </c>
      <c r="F299" s="531"/>
      <c r="G299" s="531"/>
      <c r="H299" s="531"/>
      <c r="I299" s="531"/>
      <c r="J299" s="531"/>
      <c r="K299" s="531"/>
      <c r="L299" s="531"/>
      <c r="M299" s="531"/>
      <c r="N299" s="531"/>
    </row>
    <row r="300" spans="1:14">
      <c r="A300" s="531"/>
      <c r="B300" s="531"/>
      <c r="C300" s="531"/>
      <c r="D300" s="531"/>
      <c r="E300" s="531" t="s">
        <v>791</v>
      </c>
      <c r="F300" s="531"/>
      <c r="G300" s="531"/>
      <c r="H300" s="531"/>
      <c r="I300" s="531"/>
      <c r="J300" s="531"/>
      <c r="K300" s="531"/>
      <c r="L300" s="531"/>
      <c r="M300" s="531"/>
      <c r="N300" s="531"/>
    </row>
    <row r="301" spans="1:14">
      <c r="A301" s="531"/>
      <c r="B301" s="531"/>
      <c r="C301" s="531"/>
      <c r="D301" s="531"/>
      <c r="E301" s="531" t="s">
        <v>792</v>
      </c>
      <c r="F301" s="531"/>
      <c r="G301" s="531"/>
      <c r="H301" s="531"/>
      <c r="I301" s="531"/>
      <c r="J301" s="531"/>
      <c r="K301" s="531"/>
      <c r="L301" s="531"/>
      <c r="M301" s="531"/>
      <c r="N301" s="531"/>
    </row>
    <row r="302" spans="1:14">
      <c r="A302" s="531"/>
      <c r="B302" s="531"/>
      <c r="C302" s="531"/>
      <c r="D302" s="531"/>
      <c r="E302" s="531" t="s">
        <v>793</v>
      </c>
      <c r="F302" s="531"/>
      <c r="G302" s="531"/>
      <c r="H302" s="531"/>
      <c r="I302" s="531"/>
      <c r="J302" s="531"/>
      <c r="K302" s="531"/>
      <c r="L302" s="531"/>
      <c r="M302" s="531"/>
      <c r="N302" s="531"/>
    </row>
    <row r="303" spans="1:14">
      <c r="A303" s="531"/>
      <c r="B303" s="531"/>
      <c r="C303" s="531"/>
      <c r="D303" s="531"/>
      <c r="E303" s="531" t="s">
        <v>794</v>
      </c>
      <c r="F303" s="531"/>
      <c r="G303" s="531"/>
      <c r="H303" s="531"/>
      <c r="I303" s="531"/>
      <c r="J303" s="531"/>
      <c r="K303" s="531"/>
      <c r="L303" s="531"/>
      <c r="M303" s="531"/>
      <c r="N303" s="531"/>
    </row>
    <row r="304" spans="1:14">
      <c r="A304" s="531"/>
      <c r="B304" s="531"/>
      <c r="C304" s="531"/>
      <c r="D304" s="531"/>
      <c r="E304" s="531" t="s">
        <v>795</v>
      </c>
      <c r="F304" s="531"/>
      <c r="G304" s="531"/>
      <c r="H304" s="531"/>
      <c r="I304" s="531"/>
      <c r="J304" s="531"/>
      <c r="K304" s="531"/>
      <c r="L304" s="531"/>
      <c r="M304" s="531"/>
      <c r="N304" s="531"/>
    </row>
    <row r="305" spans="1:14">
      <c r="A305" s="531"/>
      <c r="B305" s="531"/>
      <c r="C305" s="531"/>
      <c r="D305" s="531"/>
      <c r="E305" s="531" t="s">
        <v>796</v>
      </c>
      <c r="F305" s="531"/>
      <c r="G305" s="531"/>
      <c r="H305" s="531"/>
      <c r="I305" s="531"/>
      <c r="J305" s="531"/>
      <c r="K305" s="531"/>
      <c r="L305" s="531"/>
      <c r="M305" s="531"/>
      <c r="N305" s="531"/>
    </row>
    <row r="306" spans="1:14">
      <c r="A306" s="531"/>
      <c r="B306" s="531"/>
      <c r="C306" s="531"/>
      <c r="D306" s="531"/>
      <c r="E306" s="531" t="s">
        <v>797</v>
      </c>
      <c r="F306" s="531"/>
      <c r="G306" s="531"/>
      <c r="H306" s="531"/>
      <c r="I306" s="531"/>
      <c r="J306" s="531"/>
      <c r="K306" s="531"/>
      <c r="L306" s="531"/>
      <c r="M306" s="531"/>
      <c r="N306" s="531"/>
    </row>
    <row r="307" spans="1:14">
      <c r="A307" s="531"/>
      <c r="B307" s="531"/>
      <c r="C307" s="531"/>
      <c r="D307" s="531"/>
      <c r="E307" s="531" t="s">
        <v>798</v>
      </c>
      <c r="F307" s="531"/>
      <c r="G307" s="531"/>
      <c r="H307" s="531"/>
      <c r="I307" s="531"/>
      <c r="J307" s="531"/>
      <c r="K307" s="531"/>
      <c r="L307" s="531"/>
      <c r="M307" s="531"/>
      <c r="N307" s="531"/>
    </row>
    <row r="308" spans="1:14">
      <c r="A308" s="531"/>
      <c r="B308" s="531"/>
      <c r="C308" s="531"/>
      <c r="D308" s="531"/>
      <c r="E308" s="531" t="s">
        <v>799</v>
      </c>
      <c r="F308" s="531"/>
      <c r="G308" s="531"/>
      <c r="H308" s="531"/>
      <c r="I308" s="531"/>
      <c r="J308" s="531"/>
      <c r="K308" s="531"/>
      <c r="L308" s="531"/>
      <c r="M308" s="531"/>
      <c r="N308" s="531"/>
    </row>
    <row r="309" spans="1:14">
      <c r="A309" s="531"/>
      <c r="B309" s="531"/>
      <c r="C309" s="531"/>
      <c r="D309" s="531"/>
      <c r="E309" s="531" t="s">
        <v>800</v>
      </c>
      <c r="F309" s="531"/>
      <c r="G309" s="531"/>
      <c r="H309" s="531"/>
      <c r="I309" s="531"/>
      <c r="J309" s="531"/>
      <c r="K309" s="531"/>
      <c r="L309" s="531"/>
      <c r="M309" s="531"/>
      <c r="N309" s="531"/>
    </row>
    <row r="310" spans="1:14">
      <c r="A310" s="531"/>
      <c r="B310" s="531"/>
      <c r="C310" s="531"/>
      <c r="D310" s="531"/>
      <c r="E310" s="531" t="s">
        <v>801</v>
      </c>
      <c r="F310" s="531"/>
      <c r="G310" s="531"/>
      <c r="H310" s="531"/>
      <c r="I310" s="531"/>
      <c r="J310" s="531"/>
      <c r="K310" s="531"/>
      <c r="L310" s="531"/>
      <c r="M310" s="531"/>
      <c r="N310" s="531"/>
    </row>
    <row r="311" spans="1:14">
      <c r="A311" s="531"/>
      <c r="B311" s="531"/>
      <c r="C311" s="531"/>
      <c r="D311" s="531"/>
      <c r="E311" s="531" t="s">
        <v>802</v>
      </c>
      <c r="F311" s="531"/>
      <c r="G311" s="531"/>
      <c r="H311" s="531"/>
      <c r="I311" s="531"/>
      <c r="J311" s="531"/>
      <c r="K311" s="531"/>
      <c r="L311" s="531"/>
      <c r="M311" s="531"/>
      <c r="N311" s="531"/>
    </row>
    <row r="312" spans="1:14">
      <c r="A312" s="531"/>
      <c r="B312" s="531"/>
      <c r="C312" s="531"/>
      <c r="D312" s="531"/>
      <c r="E312" s="531" t="s">
        <v>803</v>
      </c>
      <c r="F312" s="531"/>
      <c r="G312" s="531"/>
      <c r="H312" s="531"/>
      <c r="I312" s="531"/>
      <c r="J312" s="531"/>
      <c r="K312" s="531"/>
      <c r="L312" s="531"/>
      <c r="M312" s="531"/>
      <c r="N312" s="531"/>
    </row>
    <row r="313" spans="1:14">
      <c r="A313" s="531"/>
      <c r="B313" s="531"/>
      <c r="C313" s="531"/>
      <c r="D313" s="531"/>
      <c r="E313" s="531" t="s">
        <v>804</v>
      </c>
      <c r="F313" s="531"/>
      <c r="G313" s="531"/>
      <c r="H313" s="531"/>
      <c r="I313" s="531"/>
      <c r="J313" s="531"/>
      <c r="K313" s="531"/>
      <c r="L313" s="531"/>
      <c r="M313" s="531"/>
      <c r="N313" s="531"/>
    </row>
    <row r="314" spans="1:14">
      <c r="A314" s="531"/>
      <c r="B314" s="531"/>
      <c r="C314" s="531"/>
      <c r="D314" s="531"/>
      <c r="E314" s="531" t="s">
        <v>805</v>
      </c>
      <c r="F314" s="531"/>
      <c r="G314" s="531"/>
      <c r="H314" s="531"/>
      <c r="I314" s="531"/>
      <c r="J314" s="531"/>
      <c r="K314" s="531"/>
      <c r="L314" s="531"/>
      <c r="M314" s="531"/>
      <c r="N314" s="531"/>
    </row>
    <row r="315" spans="1:14">
      <c r="A315" s="531"/>
      <c r="B315" s="531"/>
      <c r="C315" s="531"/>
      <c r="D315" s="531"/>
      <c r="E315" s="531" t="s">
        <v>806</v>
      </c>
      <c r="F315" s="531"/>
      <c r="G315" s="531"/>
      <c r="H315" s="531"/>
      <c r="I315" s="531"/>
      <c r="J315" s="531"/>
      <c r="K315" s="531"/>
      <c r="L315" s="531"/>
      <c r="M315" s="531"/>
      <c r="N315" s="531"/>
    </row>
    <row r="316" spans="1:14">
      <c r="A316" s="531"/>
      <c r="B316" s="531"/>
      <c r="C316" s="531"/>
      <c r="D316" s="531"/>
      <c r="E316" s="531" t="s">
        <v>807</v>
      </c>
      <c r="F316" s="531"/>
      <c r="G316" s="531"/>
      <c r="H316" s="531"/>
      <c r="I316" s="531"/>
      <c r="J316" s="531"/>
      <c r="K316" s="531"/>
      <c r="L316" s="531"/>
      <c r="M316" s="531"/>
      <c r="N316" s="531"/>
    </row>
    <row r="317" spans="1:14">
      <c r="A317" s="531"/>
      <c r="B317" s="531"/>
      <c r="C317" s="531"/>
      <c r="D317" s="531"/>
      <c r="E317" s="531" t="s">
        <v>808</v>
      </c>
      <c r="F317" s="531"/>
      <c r="G317" s="531"/>
      <c r="H317" s="531"/>
      <c r="I317" s="531"/>
      <c r="J317" s="531"/>
      <c r="K317" s="531"/>
      <c r="L317" s="531"/>
      <c r="M317" s="531"/>
      <c r="N317" s="531"/>
    </row>
    <row r="318" spans="1:14">
      <c r="A318" s="531"/>
      <c r="B318" s="531"/>
      <c r="C318" s="531"/>
      <c r="D318" s="531"/>
      <c r="E318" s="531" t="s">
        <v>809</v>
      </c>
      <c r="F318" s="531"/>
      <c r="G318" s="531"/>
      <c r="H318" s="531"/>
      <c r="I318" s="531"/>
      <c r="J318" s="531"/>
      <c r="K318" s="531"/>
      <c r="L318" s="531"/>
      <c r="M318" s="531"/>
      <c r="N318" s="531"/>
    </row>
    <row r="319" spans="1:14">
      <c r="A319" s="531"/>
      <c r="B319" s="531"/>
      <c r="C319" s="531"/>
      <c r="D319" s="531"/>
      <c r="E319" s="531" t="s">
        <v>810</v>
      </c>
      <c r="F319" s="531"/>
      <c r="G319" s="531"/>
      <c r="H319" s="531"/>
      <c r="I319" s="531"/>
      <c r="J319" s="531"/>
      <c r="K319" s="531"/>
      <c r="L319" s="531"/>
      <c r="M319" s="531"/>
      <c r="N319" s="531"/>
    </row>
    <row r="320" spans="1:14">
      <c r="A320" s="531"/>
      <c r="B320" s="531"/>
      <c r="C320" s="531"/>
      <c r="D320" s="531"/>
      <c r="E320" s="531" t="s">
        <v>811</v>
      </c>
      <c r="F320" s="531"/>
      <c r="G320" s="531"/>
      <c r="H320" s="531"/>
      <c r="I320" s="531"/>
      <c r="J320" s="531"/>
      <c r="K320" s="531"/>
      <c r="L320" s="531"/>
      <c r="M320" s="531"/>
      <c r="N320" s="531"/>
    </row>
    <row r="321" spans="1:14">
      <c r="A321" s="531"/>
      <c r="B321" s="531"/>
      <c r="C321" s="531"/>
      <c r="D321" s="531"/>
      <c r="E321" s="531" t="s">
        <v>812</v>
      </c>
      <c r="F321" s="531"/>
      <c r="G321" s="531"/>
      <c r="H321" s="531"/>
      <c r="I321" s="531"/>
      <c r="J321" s="531"/>
      <c r="K321" s="531"/>
      <c r="L321" s="531"/>
      <c r="M321" s="531"/>
      <c r="N321" s="531"/>
    </row>
    <row r="322" spans="1:14">
      <c r="A322" s="531"/>
      <c r="B322" s="531"/>
      <c r="C322" s="531"/>
      <c r="D322" s="531"/>
      <c r="E322" s="531" t="s">
        <v>813</v>
      </c>
      <c r="F322" s="531"/>
      <c r="G322" s="531"/>
      <c r="H322" s="531"/>
      <c r="I322" s="531"/>
      <c r="J322" s="531"/>
      <c r="K322" s="531"/>
      <c r="L322" s="531"/>
      <c r="M322" s="531"/>
      <c r="N322" s="531"/>
    </row>
    <row r="323" spans="1:14">
      <c r="A323" s="531"/>
      <c r="B323" s="531"/>
      <c r="C323" s="531"/>
      <c r="D323" s="531"/>
      <c r="E323" s="531" t="s">
        <v>814</v>
      </c>
      <c r="F323" s="531"/>
      <c r="G323" s="531"/>
      <c r="H323" s="531"/>
      <c r="I323" s="531"/>
      <c r="J323" s="531"/>
      <c r="K323" s="531"/>
      <c r="L323" s="531"/>
      <c r="M323" s="531"/>
      <c r="N323" s="531"/>
    </row>
    <row r="324" spans="1:14">
      <c r="A324" s="531"/>
      <c r="B324" s="531"/>
      <c r="C324" s="531"/>
      <c r="D324" s="531"/>
      <c r="E324" s="531" t="s">
        <v>815</v>
      </c>
      <c r="F324" s="531"/>
      <c r="G324" s="531"/>
      <c r="H324" s="531"/>
      <c r="I324" s="531"/>
      <c r="J324" s="531"/>
      <c r="K324" s="531"/>
      <c r="L324" s="531"/>
      <c r="M324" s="531"/>
      <c r="N324" s="531"/>
    </row>
    <row r="325" spans="1:14">
      <c r="A325" s="531"/>
      <c r="B325" s="531"/>
      <c r="C325" s="531"/>
      <c r="D325" s="531"/>
      <c r="E325" s="531" t="s">
        <v>816</v>
      </c>
      <c r="F325" s="531"/>
      <c r="G325" s="531"/>
      <c r="H325" s="531"/>
      <c r="I325" s="531"/>
      <c r="J325" s="531"/>
      <c r="K325" s="531"/>
      <c r="L325" s="531"/>
      <c r="M325" s="531"/>
      <c r="N325" s="531"/>
    </row>
    <row r="326" spans="1:14">
      <c r="A326" s="531"/>
      <c r="B326" s="531"/>
      <c r="C326" s="531"/>
      <c r="D326" s="531"/>
      <c r="E326" s="531" t="s">
        <v>817</v>
      </c>
      <c r="F326" s="531"/>
      <c r="G326" s="531"/>
      <c r="H326" s="531"/>
      <c r="I326" s="531"/>
      <c r="J326" s="531"/>
      <c r="K326" s="531"/>
      <c r="L326" s="531"/>
      <c r="M326" s="531"/>
      <c r="N326" s="531"/>
    </row>
    <row r="327" spans="1:14">
      <c r="A327" s="531"/>
      <c r="B327" s="531"/>
      <c r="C327" s="531"/>
      <c r="D327" s="531"/>
      <c r="E327" s="531" t="s">
        <v>818</v>
      </c>
      <c r="F327" s="531"/>
      <c r="G327" s="531"/>
      <c r="H327" s="531"/>
      <c r="I327" s="531"/>
      <c r="J327" s="531"/>
      <c r="K327" s="531"/>
      <c r="L327" s="531"/>
      <c r="M327" s="531"/>
      <c r="N327" s="531"/>
    </row>
    <row r="328" spans="1:14">
      <c r="A328" s="531"/>
      <c r="B328" s="531"/>
      <c r="C328" s="531"/>
      <c r="D328" s="531"/>
      <c r="E328" s="531" t="s">
        <v>819</v>
      </c>
      <c r="F328" s="531"/>
      <c r="G328" s="531"/>
      <c r="H328" s="531"/>
      <c r="I328" s="531"/>
      <c r="J328" s="531"/>
      <c r="K328" s="531"/>
      <c r="L328" s="531"/>
      <c r="M328" s="531"/>
      <c r="N328" s="531"/>
    </row>
    <row r="329" spans="1:14">
      <c r="A329" s="531"/>
      <c r="B329" s="531"/>
      <c r="C329" s="531"/>
      <c r="D329" s="531"/>
      <c r="E329" s="531" t="s">
        <v>820</v>
      </c>
      <c r="F329" s="531"/>
      <c r="G329" s="531"/>
      <c r="H329" s="531"/>
      <c r="I329" s="531"/>
      <c r="J329" s="531"/>
      <c r="K329" s="531"/>
      <c r="L329" s="531"/>
      <c r="M329" s="531"/>
      <c r="N329" s="531"/>
    </row>
    <row r="330" spans="1:14">
      <c r="A330" s="531"/>
      <c r="B330" s="531"/>
      <c r="C330" s="531"/>
      <c r="D330" s="531"/>
      <c r="E330" s="531" t="s">
        <v>821</v>
      </c>
      <c r="F330" s="531"/>
      <c r="G330" s="531"/>
      <c r="H330" s="531"/>
      <c r="I330" s="531"/>
      <c r="J330" s="531"/>
      <c r="K330" s="531"/>
      <c r="L330" s="531"/>
      <c r="M330" s="531"/>
      <c r="N330" s="531"/>
    </row>
    <row r="331" spans="1:14">
      <c r="A331" s="531"/>
      <c r="B331" s="531"/>
      <c r="C331" s="531"/>
      <c r="D331" s="531"/>
      <c r="E331" s="531" t="s">
        <v>822</v>
      </c>
      <c r="F331" s="531"/>
      <c r="G331" s="531"/>
      <c r="H331" s="531"/>
      <c r="I331" s="531"/>
      <c r="J331" s="531"/>
      <c r="K331" s="531"/>
      <c r="L331" s="531"/>
      <c r="M331" s="531"/>
      <c r="N331" s="531"/>
    </row>
    <row r="332" spans="1:14">
      <c r="A332" s="531"/>
      <c r="B332" s="531"/>
      <c r="C332" s="531"/>
      <c r="D332" s="531"/>
      <c r="E332" s="531" t="s">
        <v>823</v>
      </c>
      <c r="F332" s="531"/>
      <c r="G332" s="531"/>
      <c r="H332" s="531"/>
      <c r="I332" s="531"/>
      <c r="J332" s="531"/>
      <c r="K332" s="531"/>
      <c r="L332" s="531"/>
      <c r="M332" s="531"/>
      <c r="N332" s="531"/>
    </row>
    <row r="333" spans="1:14">
      <c r="A333" s="531"/>
      <c r="B333" s="531"/>
      <c r="C333" s="531"/>
      <c r="D333" s="531"/>
      <c r="E333" s="531" t="s">
        <v>824</v>
      </c>
      <c r="F333" s="531"/>
      <c r="G333" s="531"/>
      <c r="H333" s="531"/>
      <c r="I333" s="531"/>
      <c r="J333" s="531"/>
      <c r="K333" s="531"/>
      <c r="L333" s="531"/>
      <c r="M333" s="531"/>
      <c r="N333" s="531"/>
    </row>
    <row r="334" spans="1:14">
      <c r="A334" s="531"/>
      <c r="B334" s="531"/>
      <c r="C334" s="531"/>
      <c r="D334" s="531"/>
      <c r="E334" s="531" t="s">
        <v>825</v>
      </c>
      <c r="F334" s="531"/>
      <c r="G334" s="531"/>
      <c r="H334" s="531"/>
      <c r="I334" s="531"/>
      <c r="J334" s="531"/>
      <c r="K334" s="531"/>
      <c r="L334" s="531"/>
      <c r="M334" s="531"/>
      <c r="N334" s="531"/>
    </row>
    <row r="335" spans="1:14">
      <c r="A335" s="531"/>
      <c r="B335" s="531"/>
      <c r="C335" s="531"/>
      <c r="D335" s="531"/>
      <c r="E335" s="531" t="s">
        <v>826</v>
      </c>
      <c r="F335" s="531"/>
      <c r="G335" s="531"/>
      <c r="H335" s="531"/>
      <c r="I335" s="531"/>
      <c r="J335" s="531"/>
      <c r="K335" s="531"/>
      <c r="L335" s="531"/>
      <c r="M335" s="531"/>
      <c r="N335" s="531"/>
    </row>
    <row r="336" spans="1:14">
      <c r="A336" s="531"/>
      <c r="B336" s="531"/>
      <c r="C336" s="531"/>
      <c r="D336" s="531"/>
      <c r="E336" s="531" t="s">
        <v>827</v>
      </c>
      <c r="F336" s="531"/>
      <c r="G336" s="531"/>
      <c r="H336" s="531"/>
      <c r="I336" s="531"/>
      <c r="J336" s="531"/>
      <c r="K336" s="531"/>
      <c r="L336" s="531"/>
      <c r="M336" s="531"/>
      <c r="N336" s="531"/>
    </row>
    <row r="337" spans="1:14">
      <c r="A337" s="531"/>
      <c r="B337" s="531"/>
      <c r="C337" s="531"/>
      <c r="D337" s="531"/>
      <c r="E337" s="531" t="s">
        <v>828</v>
      </c>
      <c r="F337" s="531"/>
      <c r="G337" s="531"/>
      <c r="H337" s="531"/>
      <c r="I337" s="531"/>
      <c r="J337" s="531"/>
      <c r="K337" s="531"/>
      <c r="L337" s="531"/>
      <c r="M337" s="531"/>
      <c r="N337" s="531"/>
    </row>
    <row r="338" spans="1:14">
      <c r="A338" s="531"/>
      <c r="B338" s="531"/>
      <c r="C338" s="531"/>
      <c r="D338" s="531"/>
      <c r="E338" s="531" t="s">
        <v>829</v>
      </c>
      <c r="F338" s="531"/>
      <c r="G338" s="531"/>
      <c r="H338" s="531"/>
      <c r="I338" s="531"/>
      <c r="J338" s="531"/>
      <c r="K338" s="531"/>
      <c r="L338" s="531"/>
      <c r="M338" s="531"/>
      <c r="N338" s="531"/>
    </row>
    <row r="339" spans="1:14">
      <c r="A339" s="531"/>
      <c r="B339" s="531"/>
      <c r="C339" s="531"/>
      <c r="D339" s="531"/>
      <c r="E339" s="531" t="s">
        <v>830</v>
      </c>
      <c r="F339" s="531"/>
      <c r="G339" s="531"/>
      <c r="H339" s="531"/>
      <c r="I339" s="531"/>
      <c r="J339" s="531"/>
      <c r="K339" s="531"/>
      <c r="L339" s="531"/>
      <c r="M339" s="531"/>
      <c r="N339" s="531"/>
    </row>
    <row r="340" spans="1:14">
      <c r="A340" s="531"/>
      <c r="B340" s="531"/>
      <c r="C340" s="531"/>
      <c r="D340" s="531"/>
      <c r="E340" s="531" t="s">
        <v>831</v>
      </c>
      <c r="F340" s="531"/>
      <c r="G340" s="531"/>
      <c r="H340" s="531"/>
      <c r="I340" s="531"/>
      <c r="J340" s="531"/>
      <c r="K340" s="531"/>
      <c r="L340" s="531"/>
      <c r="M340" s="531"/>
      <c r="N340" s="531"/>
    </row>
    <row r="341" spans="1:14">
      <c r="A341" s="531"/>
      <c r="B341" s="531"/>
      <c r="C341" s="531"/>
      <c r="D341" s="531"/>
      <c r="E341" s="531" t="s">
        <v>832</v>
      </c>
      <c r="F341" s="531"/>
      <c r="G341" s="531"/>
      <c r="H341" s="531"/>
      <c r="I341" s="531"/>
      <c r="J341" s="531"/>
      <c r="K341" s="531"/>
      <c r="L341" s="531"/>
      <c r="M341" s="531"/>
      <c r="N341" s="531"/>
    </row>
    <row r="342" spans="1:14">
      <c r="A342" s="531"/>
      <c r="B342" s="531"/>
      <c r="C342" s="531"/>
      <c r="D342" s="531"/>
      <c r="E342" s="531" t="s">
        <v>833</v>
      </c>
      <c r="F342" s="531"/>
      <c r="G342" s="531"/>
      <c r="H342" s="531"/>
      <c r="I342" s="531"/>
      <c r="J342" s="531"/>
      <c r="K342" s="531"/>
      <c r="L342" s="531"/>
      <c r="M342" s="531"/>
      <c r="N342" s="531"/>
    </row>
    <row r="343" spans="1:14">
      <c r="A343" s="531"/>
      <c r="B343" s="531"/>
      <c r="C343" s="531"/>
      <c r="D343" s="531"/>
      <c r="E343" s="531" t="s">
        <v>834</v>
      </c>
      <c r="F343" s="531"/>
      <c r="G343" s="531"/>
      <c r="H343" s="531"/>
      <c r="I343" s="531"/>
      <c r="J343" s="531"/>
      <c r="K343" s="531"/>
      <c r="L343" s="531"/>
      <c r="M343" s="531"/>
      <c r="N343" s="531"/>
    </row>
    <row r="344" spans="1:14">
      <c r="A344" s="531"/>
      <c r="B344" s="531"/>
      <c r="C344" s="531"/>
      <c r="D344" s="531"/>
      <c r="E344" s="531" t="s">
        <v>835</v>
      </c>
      <c r="F344" s="531"/>
      <c r="G344" s="531"/>
      <c r="H344" s="531"/>
      <c r="I344" s="531"/>
      <c r="J344" s="531"/>
      <c r="K344" s="531"/>
      <c r="L344" s="531"/>
      <c r="M344" s="531"/>
      <c r="N344" s="531"/>
    </row>
    <row r="345" spans="1:14">
      <c r="A345" s="531"/>
      <c r="B345" s="531"/>
      <c r="C345" s="531"/>
      <c r="D345" s="531"/>
      <c r="E345" s="531" t="s">
        <v>836</v>
      </c>
      <c r="F345" s="531"/>
      <c r="G345" s="531"/>
      <c r="H345" s="531"/>
      <c r="I345" s="531"/>
      <c r="J345" s="531"/>
      <c r="K345" s="531"/>
      <c r="L345" s="531"/>
      <c r="M345" s="531"/>
      <c r="N345" s="531"/>
    </row>
    <row r="346" spans="1:14">
      <c r="A346" s="531"/>
      <c r="B346" s="531"/>
      <c r="C346" s="531"/>
      <c r="D346" s="531"/>
      <c r="E346" s="531" t="s">
        <v>837</v>
      </c>
      <c r="F346" s="531"/>
      <c r="G346" s="531"/>
      <c r="H346" s="531"/>
      <c r="I346" s="531"/>
      <c r="J346" s="531"/>
      <c r="K346" s="531"/>
      <c r="L346" s="531"/>
      <c r="M346" s="531"/>
      <c r="N346" s="531"/>
    </row>
    <row r="347" spans="1:14">
      <c r="A347" s="531"/>
      <c r="B347" s="531"/>
      <c r="C347" s="531"/>
      <c r="D347" s="531"/>
      <c r="E347" s="531" t="s">
        <v>838</v>
      </c>
      <c r="F347" s="531"/>
      <c r="G347" s="531"/>
      <c r="H347" s="531"/>
      <c r="I347" s="531"/>
      <c r="J347" s="531"/>
      <c r="K347" s="531"/>
      <c r="L347" s="531"/>
      <c r="M347" s="531"/>
      <c r="N347" s="531"/>
    </row>
    <row r="348" spans="1:14">
      <c r="A348" s="531"/>
      <c r="B348" s="531"/>
      <c r="C348" s="531"/>
      <c r="D348" s="531"/>
      <c r="E348" s="531" t="s">
        <v>839</v>
      </c>
      <c r="F348" s="531"/>
      <c r="G348" s="531"/>
      <c r="H348" s="531"/>
      <c r="I348" s="531"/>
      <c r="J348" s="531"/>
      <c r="K348" s="531"/>
      <c r="L348" s="531"/>
      <c r="M348" s="531"/>
      <c r="N348" s="531"/>
    </row>
    <row r="349" spans="1:14">
      <c r="A349" s="531"/>
      <c r="B349" s="531"/>
      <c r="C349" s="531"/>
      <c r="D349" s="531"/>
      <c r="E349" s="531" t="s">
        <v>513</v>
      </c>
      <c r="F349" s="531"/>
      <c r="G349" s="531"/>
      <c r="H349" s="531"/>
      <c r="I349" s="531"/>
      <c r="J349" s="531"/>
      <c r="K349" s="531"/>
      <c r="L349" s="531"/>
      <c r="M349" s="531"/>
      <c r="N349" s="531"/>
    </row>
    <row r="350" spans="1:14">
      <c r="A350" s="531"/>
      <c r="B350" s="531"/>
      <c r="C350" s="531"/>
      <c r="D350" s="531"/>
      <c r="E350" s="531" t="s">
        <v>840</v>
      </c>
      <c r="F350" s="1627"/>
      <c r="H350" s="531"/>
      <c r="I350" s="531"/>
      <c r="J350" s="531"/>
      <c r="K350" s="531"/>
      <c r="L350" s="531"/>
      <c r="M350" s="531"/>
      <c r="N350" s="531"/>
    </row>
    <row r="351" spans="1:14">
      <c r="A351" s="531"/>
      <c r="B351" s="531"/>
      <c r="C351" s="531"/>
      <c r="D351" s="531"/>
      <c r="E351" s="531" t="s">
        <v>841</v>
      </c>
      <c r="F351" s="1627"/>
      <c r="H351" s="531"/>
      <c r="I351" s="531"/>
      <c r="J351" s="531"/>
      <c r="K351" s="531"/>
      <c r="L351" s="531"/>
      <c r="M351" s="531"/>
      <c r="N351" s="531"/>
    </row>
    <row r="352" spans="1:14">
      <c r="A352" s="531"/>
      <c r="B352" s="531"/>
      <c r="C352" s="531"/>
      <c r="D352" s="531"/>
      <c r="E352" s="531" t="s">
        <v>842</v>
      </c>
      <c r="F352" s="1627"/>
      <c r="H352" s="531"/>
      <c r="I352" s="531"/>
      <c r="J352" s="531"/>
      <c r="K352" s="531"/>
      <c r="L352" s="531"/>
      <c r="M352" s="531"/>
      <c r="N352" s="531"/>
    </row>
    <row r="353" spans="4:4">
      <c r="D353" s="531"/>
    </row>
    <row r="354" spans="4:4">
      <c r="D354" s="531"/>
    </row>
    <row r="355" spans="4:4">
      <c r="D355" s="531"/>
    </row>
    <row r="356" spans="4:4">
      <c r="D356" s="531"/>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4:V50"/>
  <sheetViews>
    <sheetView showGridLines="0" zoomScaleNormal="100" workbookViewId="0">
      <selection activeCell="A4" sqref="A4"/>
    </sheetView>
  </sheetViews>
  <sheetFormatPr defaultRowHeight="13.15"/>
  <sheetData>
    <row r="4" spans="1:22" ht="22.9">
      <c r="A4" s="396" t="s">
        <v>843</v>
      </c>
    </row>
    <row r="6" spans="1:22">
      <c r="A6" s="395"/>
      <c r="V6" s="395"/>
    </row>
    <row r="50" spans="12:12">
      <c r="L50" s="395"/>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U217"/>
  <sheetViews>
    <sheetView showGridLines="0" zoomScaleNormal="100" workbookViewId="0"/>
  </sheetViews>
  <sheetFormatPr defaultColWidth="9.140625" defaultRowHeight="13.9"/>
  <cols>
    <col min="1" max="1" width="3.28515625" style="12" customWidth="1"/>
    <col min="2" max="2" width="39.140625" style="3" bestFit="1" customWidth="1"/>
    <col min="3" max="3" width="36.85546875" style="3" customWidth="1"/>
    <col min="4" max="4" width="32.7109375" style="3" customWidth="1"/>
    <col min="5" max="5" width="37.85546875" style="12" customWidth="1"/>
    <col min="6" max="6" width="24.140625" style="12" customWidth="1"/>
    <col min="7" max="7" width="22.140625" style="12" customWidth="1"/>
    <col min="8" max="8" width="30.42578125" style="12" customWidth="1"/>
    <col min="9" max="9" width="19.140625" style="12" customWidth="1"/>
    <col min="10" max="12" width="22.28515625" style="12" customWidth="1"/>
    <col min="13" max="13" width="25.42578125" style="12" customWidth="1"/>
    <col min="14" max="15" width="20" style="12" customWidth="1"/>
    <col min="16" max="16" width="18.85546875" style="12" customWidth="1"/>
    <col min="17" max="17" width="9.140625" style="12"/>
    <col min="18" max="18" width="14.7109375" style="12" customWidth="1"/>
    <col min="19" max="22" width="9.140625" style="12"/>
    <col min="23" max="16384" width="9.140625" style="3"/>
  </cols>
  <sheetData>
    <row r="1" spans="1:47" ht="14.45" thickBot="1"/>
    <row r="2" spans="1:47" ht="22.5" customHeight="1" thickBot="1">
      <c r="B2" s="1915" t="s">
        <v>844</v>
      </c>
      <c r="C2" s="1916"/>
      <c r="D2" s="1917"/>
      <c r="F2" s="198"/>
      <c r="W2" s="12"/>
      <c r="X2" s="12"/>
      <c r="Y2" s="12"/>
      <c r="Z2" s="12"/>
      <c r="AA2" s="12"/>
      <c r="AB2" s="12"/>
      <c r="AC2" s="12"/>
      <c r="AD2" s="12"/>
      <c r="AE2" s="12"/>
      <c r="AF2" s="12"/>
      <c r="AG2" s="12"/>
      <c r="AH2" s="12"/>
      <c r="AI2" s="12"/>
      <c r="AJ2" s="12"/>
      <c r="AK2" s="12"/>
      <c r="AL2" s="12"/>
      <c r="AM2" s="12"/>
      <c r="AN2" s="12"/>
      <c r="AO2" s="12"/>
      <c r="AP2" s="12"/>
      <c r="AQ2" s="12"/>
      <c r="AR2" s="12"/>
      <c r="AS2" s="12"/>
      <c r="AT2" s="12"/>
      <c r="AU2" s="12"/>
    </row>
    <row r="3" spans="1:47">
      <c r="B3" s="1918" t="s">
        <v>845</v>
      </c>
      <c r="C3" s="1918"/>
      <c r="D3" s="1918"/>
      <c r="E3" s="1918"/>
      <c r="F3" s="1918"/>
      <c r="G3" s="1918"/>
      <c r="H3" s="1918"/>
      <c r="I3" s="40"/>
      <c r="W3" s="12"/>
      <c r="X3" s="12"/>
      <c r="Y3" s="12"/>
      <c r="Z3" s="12"/>
      <c r="AA3" s="12"/>
      <c r="AB3" s="12"/>
      <c r="AC3" s="12"/>
      <c r="AD3" s="12"/>
      <c r="AE3" s="12"/>
      <c r="AF3" s="12"/>
      <c r="AG3" s="12"/>
      <c r="AH3" s="12"/>
      <c r="AI3" s="12"/>
      <c r="AJ3" s="12"/>
      <c r="AK3" s="12"/>
      <c r="AL3" s="12"/>
      <c r="AM3" s="12"/>
      <c r="AN3" s="12"/>
      <c r="AO3" s="12"/>
      <c r="AP3" s="12"/>
      <c r="AQ3" s="12"/>
      <c r="AR3" s="12"/>
      <c r="AS3" s="12"/>
      <c r="AT3" s="12"/>
      <c r="AU3" s="12"/>
    </row>
    <row r="4" spans="1:47" ht="14.45" thickBot="1">
      <c r="B4" s="1456"/>
      <c r="C4" s="1456"/>
      <c r="D4" s="1456"/>
      <c r="E4" s="1456"/>
      <c r="F4" s="1456"/>
      <c r="G4" s="1456"/>
      <c r="H4" s="1456"/>
      <c r="I4" s="40"/>
      <c r="W4" s="12"/>
      <c r="X4" s="12"/>
      <c r="Y4" s="12"/>
      <c r="Z4" s="12"/>
      <c r="AA4" s="12"/>
      <c r="AB4" s="12"/>
      <c r="AC4" s="12"/>
      <c r="AD4" s="12"/>
      <c r="AE4" s="12"/>
      <c r="AF4" s="12"/>
      <c r="AG4" s="12"/>
      <c r="AH4" s="12"/>
      <c r="AI4" s="12"/>
      <c r="AJ4" s="12"/>
      <c r="AK4" s="12"/>
      <c r="AL4" s="12"/>
      <c r="AM4" s="12"/>
      <c r="AN4" s="12"/>
      <c r="AO4" s="12"/>
      <c r="AP4" s="12"/>
      <c r="AQ4" s="12"/>
      <c r="AR4" s="12"/>
      <c r="AS4" s="12"/>
      <c r="AT4" s="12"/>
      <c r="AU4" s="12"/>
    </row>
    <row r="5" spans="1:47" ht="14.45" thickBot="1">
      <c r="B5" s="1664" t="s">
        <v>377</v>
      </c>
      <c r="C5" s="1919"/>
      <c r="D5" s="1919"/>
      <c r="E5" s="1920"/>
      <c r="F5" s="1456"/>
      <c r="G5" s="1456"/>
      <c r="H5" s="1456"/>
      <c r="I5" s="40"/>
      <c r="W5" s="12"/>
      <c r="X5" s="12"/>
      <c r="Y5" s="12"/>
      <c r="Z5" s="12"/>
      <c r="AA5" s="12"/>
      <c r="AB5" s="12"/>
      <c r="AC5" s="12"/>
      <c r="AD5" s="12"/>
      <c r="AE5" s="12"/>
      <c r="AF5" s="12"/>
      <c r="AG5" s="12"/>
      <c r="AH5" s="12"/>
      <c r="AI5" s="12"/>
      <c r="AJ5" s="12"/>
      <c r="AK5" s="12"/>
      <c r="AL5" s="12"/>
      <c r="AM5" s="12"/>
      <c r="AN5" s="12"/>
      <c r="AO5" s="12"/>
      <c r="AP5" s="12"/>
      <c r="AQ5" s="12"/>
      <c r="AR5" s="12"/>
      <c r="AS5" s="12"/>
      <c r="AT5" s="12"/>
      <c r="AU5" s="12"/>
    </row>
    <row r="6" spans="1:47" ht="44.25" customHeight="1" thickBot="1">
      <c r="B6" s="1807" t="s">
        <v>846</v>
      </c>
      <c r="C6" s="1808"/>
      <c r="D6" s="1808"/>
      <c r="E6" s="1809"/>
      <c r="F6" s="1456"/>
      <c r="G6" s="1456"/>
      <c r="H6" s="1456"/>
      <c r="I6" s="40"/>
      <c r="W6" s="12"/>
      <c r="X6" s="12"/>
      <c r="Y6" s="12"/>
      <c r="Z6" s="12"/>
      <c r="AA6" s="12"/>
      <c r="AB6" s="12"/>
      <c r="AC6" s="12"/>
      <c r="AD6" s="12"/>
      <c r="AE6" s="12"/>
      <c r="AF6" s="12"/>
      <c r="AG6" s="12"/>
      <c r="AH6" s="12"/>
      <c r="AI6" s="12"/>
      <c r="AJ6" s="12"/>
      <c r="AK6" s="12"/>
      <c r="AL6" s="12"/>
      <c r="AM6" s="12"/>
      <c r="AN6" s="12"/>
      <c r="AO6" s="12"/>
      <c r="AP6" s="12"/>
      <c r="AQ6" s="12"/>
      <c r="AR6" s="12"/>
      <c r="AS6" s="12"/>
      <c r="AT6" s="12"/>
      <c r="AU6" s="12"/>
    </row>
    <row r="7" spans="1:47" ht="12" customHeight="1" thickBot="1">
      <c r="B7" s="40"/>
      <c r="C7" s="40"/>
      <c r="D7" s="40"/>
      <c r="E7" s="40"/>
      <c r="F7" s="40"/>
      <c r="G7" s="40"/>
      <c r="H7" s="40"/>
      <c r="I7" s="40"/>
      <c r="W7" s="12"/>
      <c r="X7" s="12"/>
      <c r="Y7" s="12"/>
      <c r="Z7" s="12"/>
      <c r="AA7" s="12"/>
      <c r="AB7" s="12"/>
      <c r="AC7" s="12"/>
      <c r="AD7" s="12"/>
      <c r="AE7" s="12"/>
      <c r="AF7" s="12"/>
      <c r="AG7" s="12"/>
      <c r="AH7" s="12"/>
      <c r="AI7" s="12"/>
      <c r="AJ7" s="12"/>
      <c r="AK7" s="12"/>
      <c r="AL7" s="12"/>
      <c r="AM7" s="12"/>
      <c r="AN7" s="12"/>
      <c r="AO7" s="12"/>
      <c r="AP7" s="12"/>
      <c r="AQ7" s="12"/>
      <c r="AR7" s="12"/>
      <c r="AS7" s="12"/>
      <c r="AT7" s="12"/>
      <c r="AU7" s="12"/>
    </row>
    <row r="8" spans="1:47" ht="15.75" customHeight="1" thickBot="1">
      <c r="B8" s="1682" t="s">
        <v>847</v>
      </c>
      <c r="C8" s="1860"/>
      <c r="D8" s="1860"/>
      <c r="E8" s="1860"/>
      <c r="F8" s="1860"/>
      <c r="G8" s="1683"/>
      <c r="H8" s="40"/>
      <c r="W8" s="12"/>
      <c r="X8" s="12"/>
      <c r="Y8" s="12"/>
      <c r="Z8" s="12"/>
      <c r="AA8" s="12"/>
      <c r="AB8" s="12"/>
      <c r="AC8" s="12"/>
      <c r="AD8" s="12"/>
      <c r="AE8" s="12"/>
      <c r="AF8" s="12"/>
      <c r="AG8" s="12"/>
      <c r="AH8" s="12"/>
      <c r="AI8" s="12"/>
      <c r="AJ8" s="12"/>
      <c r="AK8" s="12"/>
      <c r="AL8" s="12"/>
      <c r="AM8" s="12"/>
      <c r="AN8" s="12"/>
      <c r="AO8" s="12"/>
      <c r="AP8" s="12"/>
      <c r="AQ8" s="12"/>
      <c r="AR8" s="12"/>
      <c r="AS8" s="12"/>
      <c r="AT8" s="12"/>
    </row>
    <row r="9" spans="1:47" s="12" customFormat="1">
      <c r="A9" s="25"/>
      <c r="B9" s="62" t="s">
        <v>215</v>
      </c>
      <c r="C9" s="227" t="s">
        <v>216</v>
      </c>
      <c r="D9" s="54" t="s">
        <v>848</v>
      </c>
      <c r="E9" s="233" t="s">
        <v>849</v>
      </c>
      <c r="F9" s="232" t="s">
        <v>850</v>
      </c>
      <c r="G9" s="55" t="s">
        <v>407</v>
      </c>
      <c r="H9" s="40"/>
    </row>
    <row r="10" spans="1:47" s="12" customFormat="1" ht="16.5" customHeight="1">
      <c r="A10" s="25"/>
      <c r="B10" s="237" t="s">
        <v>851</v>
      </c>
      <c r="C10" s="934">
        <f>'Adjust Inventory Year'!C13</f>
        <v>53.06</v>
      </c>
      <c r="D10" s="1135">
        <f>(C10*D138)*D147</f>
        <v>5.304731866E-3</v>
      </c>
      <c r="E10" s="1134"/>
      <c r="F10" s="1134"/>
      <c r="G10" s="238" t="s">
        <v>852</v>
      </c>
      <c r="H10" s="40"/>
    </row>
    <row r="11" spans="1:47" s="12" customFormat="1" ht="16.5" customHeight="1">
      <c r="A11" s="25"/>
      <c r="B11" s="59" t="s">
        <v>215</v>
      </c>
      <c r="C11" s="232" t="s">
        <v>216</v>
      </c>
      <c r="D11" s="232" t="s">
        <v>217</v>
      </c>
      <c r="E11" s="233" t="s">
        <v>218</v>
      </c>
      <c r="F11" s="232" t="s">
        <v>219</v>
      </c>
      <c r="G11" s="61" t="s">
        <v>407</v>
      </c>
    </row>
    <row r="12" spans="1:47" s="12" customFormat="1" ht="16.5" customHeight="1" thickBot="1">
      <c r="A12" s="25"/>
      <c r="B12" s="597" t="s">
        <v>221</v>
      </c>
      <c r="C12" s="598" t="s">
        <v>39</v>
      </c>
      <c r="D12" s="1136">
        <f>'Adjust Inventory Year'!D14</f>
        <v>7.3959999999999998E-2</v>
      </c>
      <c r="E12" s="1137">
        <f>'Adjust Inventory Year'!E14</f>
        <v>3.0000000000000001E-6</v>
      </c>
      <c r="F12" s="1137">
        <f>'Adjust Inventory Year'!F14</f>
        <v>5.9999999999999997E-7</v>
      </c>
      <c r="G12" s="1138" t="s">
        <v>852</v>
      </c>
    </row>
    <row r="13" spans="1:47" s="12" customFormat="1" ht="17.25" customHeight="1" thickBot="1">
      <c r="A13" s="25"/>
      <c r="B13" s="1869" t="s">
        <v>853</v>
      </c>
      <c r="C13" s="1870"/>
      <c r="D13" s="1870"/>
      <c r="E13" s="1871"/>
      <c r="F13" s="40"/>
      <c r="G13" s="40"/>
      <c r="H13" s="40"/>
    </row>
    <row r="14" spans="1:47" s="12" customFormat="1" ht="14.45" thickBot="1">
      <c r="A14" s="25"/>
      <c r="B14" s="25"/>
      <c r="C14" s="25"/>
      <c r="D14" s="25"/>
      <c r="E14" s="25"/>
      <c r="F14" s="25"/>
      <c r="G14" s="40"/>
      <c r="H14" s="40"/>
      <c r="I14" s="40"/>
    </row>
    <row r="15" spans="1:47" s="12" customFormat="1" ht="14.45" thickBot="1">
      <c r="A15" s="25"/>
      <c r="B15" s="1710" t="s">
        <v>854</v>
      </c>
      <c r="C15" s="1872"/>
      <c r="D15" s="1873"/>
      <c r="E15" s="553"/>
      <c r="F15" s="25"/>
      <c r="G15" s="40"/>
      <c r="H15" s="40"/>
      <c r="I15" s="40"/>
    </row>
    <row r="16" spans="1:47" s="12" customFormat="1">
      <c r="A16" s="25"/>
      <c r="B16" s="46" t="s">
        <v>855</v>
      </c>
      <c r="C16" s="47" t="s">
        <v>355</v>
      </c>
      <c r="D16" s="48" t="s">
        <v>407</v>
      </c>
      <c r="E16" s="25"/>
      <c r="F16" s="25"/>
      <c r="G16" s="40"/>
      <c r="H16" s="40"/>
      <c r="I16" s="40"/>
    </row>
    <row r="17" spans="1:9" s="12" customFormat="1" ht="27" customHeight="1">
      <c r="A17" s="25"/>
      <c r="B17" s="214" t="s">
        <v>856</v>
      </c>
      <c r="C17" s="1292">
        <v>2.83</v>
      </c>
      <c r="D17" s="215" t="s">
        <v>857</v>
      </c>
      <c r="E17" s="25"/>
      <c r="F17" s="25"/>
      <c r="G17" s="40"/>
      <c r="H17" s="40"/>
      <c r="I17" s="40"/>
    </row>
    <row r="18" spans="1:9" s="12" customFormat="1" ht="27" customHeight="1">
      <c r="A18" s="25"/>
      <c r="B18" s="118" t="s">
        <v>858</v>
      </c>
      <c r="C18" s="1293">
        <v>0.7</v>
      </c>
      <c r="D18" s="216" t="s">
        <v>859</v>
      </c>
      <c r="E18" s="25"/>
      <c r="F18" s="25"/>
      <c r="G18" s="40"/>
      <c r="H18" s="40"/>
      <c r="I18" s="40"/>
    </row>
    <row r="19" spans="1:9" s="12" customFormat="1" ht="27" customHeight="1">
      <c r="A19" s="25"/>
      <c r="B19" s="118" t="s">
        <v>860</v>
      </c>
      <c r="C19" s="1294">
        <f>C17*C18</f>
        <v>1.9809999999999999</v>
      </c>
      <c r="D19" s="217" t="s">
        <v>861</v>
      </c>
      <c r="E19" s="25"/>
      <c r="F19" s="25"/>
      <c r="G19" s="40"/>
      <c r="H19" s="40"/>
      <c r="I19" s="40"/>
    </row>
    <row r="20" spans="1:9" s="12" customFormat="1" ht="27" customHeight="1">
      <c r="A20" s="25"/>
      <c r="B20" s="118" t="s">
        <v>862</v>
      </c>
      <c r="C20" s="1295">
        <f>C19*'Emission Factors'!D138</f>
        <v>1.9810000000000001E-3</v>
      </c>
      <c r="D20" s="217" t="s">
        <v>861</v>
      </c>
      <c r="E20" s="25"/>
      <c r="F20" s="25"/>
      <c r="G20" s="40"/>
      <c r="H20" s="40"/>
      <c r="I20" s="40"/>
    </row>
    <row r="21" spans="1:9" s="12" customFormat="1" ht="43.9" customHeight="1">
      <c r="A21" s="25"/>
      <c r="B21" s="118" t="s">
        <v>863</v>
      </c>
      <c r="C21" s="439">
        <v>0.93400000000000005</v>
      </c>
      <c r="D21" s="216" t="s">
        <v>864</v>
      </c>
      <c r="E21" s="25"/>
      <c r="F21" s="25"/>
      <c r="G21" s="40"/>
      <c r="H21" s="40"/>
      <c r="I21" s="40"/>
    </row>
    <row r="22" spans="1:9" s="12" customFormat="1" ht="27" customHeight="1">
      <c r="A22" s="25"/>
      <c r="B22" s="118" t="s">
        <v>865</v>
      </c>
      <c r="C22" s="439">
        <v>0.01</v>
      </c>
      <c r="D22" s="216" t="s">
        <v>864</v>
      </c>
      <c r="E22" s="25"/>
      <c r="F22" s="25"/>
      <c r="G22" s="40"/>
      <c r="H22" s="40"/>
      <c r="I22" s="40"/>
    </row>
    <row r="23" spans="1:9" s="12" customFormat="1" ht="27" customHeight="1">
      <c r="A23" s="25"/>
      <c r="B23" s="118" t="s">
        <v>866</v>
      </c>
      <c r="C23" s="1296">
        <f>C20*C21</f>
        <v>1.8502540000000002E-3</v>
      </c>
      <c r="D23" s="217" t="s">
        <v>861</v>
      </c>
      <c r="E23" s="25"/>
      <c r="F23" s="25"/>
      <c r="G23" s="40"/>
      <c r="H23" s="40"/>
      <c r="I23" s="40"/>
    </row>
    <row r="24" spans="1:9" s="12" customFormat="1" ht="27" customHeight="1">
      <c r="A24" s="25"/>
      <c r="B24" s="255" t="s">
        <v>867</v>
      </c>
      <c r="C24" s="1297">
        <f>C20*C22</f>
        <v>1.9810000000000002E-5</v>
      </c>
      <c r="D24" s="256" t="s">
        <v>861</v>
      </c>
      <c r="E24" s="25"/>
      <c r="F24" s="25"/>
      <c r="G24" s="40"/>
      <c r="H24" s="40"/>
      <c r="I24" s="40"/>
    </row>
    <row r="25" spans="1:9" s="12" customFormat="1" ht="27" customHeight="1">
      <c r="A25" s="25"/>
      <c r="B25" s="511" t="s">
        <v>868</v>
      </c>
      <c r="C25" s="1298">
        <f>C23</f>
        <v>1.8502540000000002E-3</v>
      </c>
      <c r="D25" s="1299" t="s">
        <v>861</v>
      </c>
      <c r="E25" s="25"/>
      <c r="F25" s="25"/>
      <c r="G25" s="40"/>
      <c r="H25" s="40"/>
      <c r="I25" s="40"/>
    </row>
    <row r="26" spans="1:9" s="12" customFormat="1" ht="27" thickBot="1">
      <c r="A26" s="25"/>
      <c r="B26" s="521" t="s">
        <v>869</v>
      </c>
      <c r="C26" s="1373">
        <f>C24</f>
        <v>1.9810000000000002E-5</v>
      </c>
      <c r="D26" s="1374" t="s">
        <v>861</v>
      </c>
      <c r="E26" s="25"/>
      <c r="F26" s="25"/>
      <c r="G26" s="40"/>
      <c r="H26" s="40"/>
      <c r="I26" s="40"/>
    </row>
    <row r="27" spans="1:9" s="12" customFormat="1" ht="14.45" thickBot="1">
      <c r="A27" s="25"/>
      <c r="B27" s="25"/>
      <c r="C27" s="25"/>
      <c r="D27" s="25"/>
      <c r="E27" s="25"/>
      <c r="F27" s="25"/>
      <c r="G27" s="40"/>
      <c r="H27" s="40"/>
      <c r="I27" s="40"/>
    </row>
    <row r="28" spans="1:9" s="12" customFormat="1" ht="14.45" thickBot="1">
      <c r="A28"/>
      <c r="B28" s="1874" t="s">
        <v>870</v>
      </c>
      <c r="C28" s="1711"/>
      <c r="D28" s="1711"/>
      <c r="E28" s="1712"/>
      <c r="F28" s="25"/>
      <c r="G28" s="40"/>
      <c r="H28" s="40"/>
      <c r="I28" s="40"/>
    </row>
    <row r="29" spans="1:9" s="12" customFormat="1" ht="26.45">
      <c r="A29" s="25"/>
      <c r="B29" s="1875" t="s">
        <v>225</v>
      </c>
      <c r="C29" s="1876"/>
      <c r="D29" s="399" t="s">
        <v>871</v>
      </c>
      <c r="E29" s="400" t="s">
        <v>227</v>
      </c>
      <c r="F29" s="25"/>
      <c r="G29" s="40"/>
      <c r="H29" s="40"/>
      <c r="I29" s="40"/>
    </row>
    <row r="30" spans="1:9" s="12" customFormat="1">
      <c r="A30" s="25"/>
      <c r="B30" s="1877" t="s">
        <v>228</v>
      </c>
      <c r="C30" s="1878"/>
      <c r="D30" s="935">
        <f>'Adjust Inventory Year'!C19</f>
        <v>540</v>
      </c>
      <c r="E30" s="1165">
        <f>(D30/D33)*E33</f>
        <v>633.5747074059243</v>
      </c>
      <c r="F30" s="25"/>
      <c r="G30" s="40"/>
      <c r="H30" s="40"/>
      <c r="I30" s="40"/>
    </row>
    <row r="31" spans="1:9" s="12" customFormat="1">
      <c r="A31" s="25"/>
      <c r="B31" s="1881" t="s">
        <v>229</v>
      </c>
      <c r="C31" s="1882"/>
      <c r="D31" s="935">
        <f>'Adjust Inventory Year'!C20</f>
        <v>4.2999999999999997E-2</v>
      </c>
      <c r="E31" s="1166">
        <f>(D31/D33)*E33</f>
        <v>5.0451319293434709E-2</v>
      </c>
      <c r="F31" s="25"/>
      <c r="G31" s="40"/>
      <c r="H31" s="40"/>
      <c r="I31" s="40"/>
    </row>
    <row r="32" spans="1:9" s="12" customFormat="1">
      <c r="A32" s="25"/>
      <c r="B32" s="1881" t="s">
        <v>230</v>
      </c>
      <c r="C32" s="1882"/>
      <c r="D32" s="935">
        <f>'Adjust Inventory Year'!C21</f>
        <v>6.0000000000000001E-3</v>
      </c>
      <c r="E32" s="1166">
        <f>(D32/D33)*E33</f>
        <v>7.039718971176937E-3</v>
      </c>
      <c r="F32" s="25"/>
      <c r="G32" s="40"/>
      <c r="H32" s="40"/>
      <c r="I32" s="40"/>
    </row>
    <row r="33" spans="1:13" s="12" customFormat="1" ht="14.45" thickBot="1">
      <c r="A33" s="25"/>
      <c r="B33" s="1883" t="s">
        <v>231</v>
      </c>
      <c r="C33" s="1884"/>
      <c r="D33" s="1375">
        <f>(D30)+(D31*$B$125)+(D32*$C$125)</f>
        <v>542.9194</v>
      </c>
      <c r="E33" s="1376">
        <f>'Adjust Inventory Year'!D22</f>
        <v>637</v>
      </c>
      <c r="F33" s="25"/>
      <c r="G33" s="40"/>
      <c r="H33" s="40"/>
      <c r="I33" s="40"/>
    </row>
    <row r="34" spans="1:13" s="12" customFormat="1" ht="52.5" customHeight="1">
      <c r="A34" s="25"/>
      <c r="B34" s="1886" t="s">
        <v>872</v>
      </c>
      <c r="C34" s="1887"/>
      <c r="D34" s="1887"/>
      <c r="E34" s="1887"/>
      <c r="F34" s="463" t="s">
        <v>873</v>
      </c>
      <c r="G34" s="40"/>
      <c r="H34" s="40"/>
      <c r="I34" s="40"/>
    </row>
    <row r="35" spans="1:13" s="12" customFormat="1" ht="14.45" thickBot="1">
      <c r="A35" s="25"/>
      <c r="B35" s="25"/>
      <c r="C35" s="25"/>
      <c r="D35" s="25"/>
      <c r="E35" s="25"/>
      <c r="F35" s="25"/>
      <c r="G35" s="40"/>
      <c r="H35" s="40"/>
      <c r="I35" s="40"/>
    </row>
    <row r="36" spans="1:13" s="12" customFormat="1" ht="14.25" customHeight="1" thickBot="1">
      <c r="A36" s="25"/>
      <c r="B36" s="1879" t="s">
        <v>874</v>
      </c>
      <c r="C36" s="1880"/>
      <c r="D36" s="1880"/>
      <c r="E36" s="1880"/>
      <c r="F36" s="1880"/>
      <c r="G36" s="1880"/>
      <c r="H36" s="1880"/>
      <c r="I36" s="1880"/>
      <c r="J36" s="1880"/>
      <c r="K36" s="1885"/>
      <c r="L36" s="1269"/>
      <c r="M36" s="1269"/>
    </row>
    <row r="37" spans="1:13" s="12" customFormat="1" ht="40.15" thickBot="1">
      <c r="A37" s="25"/>
      <c r="B37" s="59" t="s">
        <v>875</v>
      </c>
      <c r="C37" s="399" t="s">
        <v>876</v>
      </c>
      <c r="D37" s="399" t="s">
        <v>877</v>
      </c>
      <c r="E37" s="399" t="s">
        <v>878</v>
      </c>
      <c r="F37" s="399" t="s">
        <v>235</v>
      </c>
      <c r="G37" s="399" t="s">
        <v>879</v>
      </c>
      <c r="H37" s="399" t="s">
        <v>880</v>
      </c>
      <c r="I37" s="400" t="s">
        <v>881</v>
      </c>
      <c r="J37" s="400" t="s">
        <v>882</v>
      </c>
      <c r="K37" s="1253" t="s">
        <v>883</v>
      </c>
    </row>
    <row r="38" spans="1:13" s="12" customFormat="1" ht="14.45" thickBot="1">
      <c r="A38" s="25"/>
      <c r="B38" s="403" t="s">
        <v>884</v>
      </c>
      <c r="C38" s="1377">
        <f>$E$30</f>
        <v>633.5747074059243</v>
      </c>
      <c r="D38" s="1378">
        <f>$E$31</f>
        <v>5.0451319293434709E-2</v>
      </c>
      <c r="E38" s="1379">
        <f>$E$32</f>
        <v>7.039718971176937E-3</v>
      </c>
      <c r="F38" s="1380">
        <f>INDEX($C$48:$C$51,MATCH(Inputs!$C$20,'Emission Factors'!$B$48:$B$51,0))</f>
        <v>0.42121261951826283</v>
      </c>
      <c r="G38" s="1381">
        <f>IFERROR(D38*(1-F38),0)/$D$140*$D$142</f>
        <v>1.3245152629335677E-8</v>
      </c>
      <c r="H38" s="1382">
        <f>IFERROR(C38*(1-F38),0)/$D$140*$D$142</f>
        <v>1.6633447488002945E-4</v>
      </c>
      <c r="I38" s="1383">
        <f>IFERROR(E38*(1-F38),0)/$D$140*$D$142</f>
        <v>1.8481608320003274E-9</v>
      </c>
      <c r="J38" s="1383">
        <f>(H38)+(G38*$B$125)+(I38*$C$125)</f>
        <v>1.6723372833551972E-4</v>
      </c>
      <c r="K38" s="1254">
        <f>(J38*$D$140)/$D$142</f>
        <v>368.68756136686653</v>
      </c>
    </row>
    <row r="39" spans="1:13" s="12" customFormat="1" ht="33.75" customHeight="1">
      <c r="A39" s="25"/>
      <c r="B39" s="1886" t="s">
        <v>885</v>
      </c>
      <c r="C39" s="1888"/>
      <c r="D39" s="1888"/>
      <c r="E39" s="1889"/>
      <c r="F39" s="559"/>
      <c r="G39" s="559"/>
      <c r="H39" s="559"/>
    </row>
    <row r="40" spans="1:13" s="12" customFormat="1" ht="14.45" thickBot="1">
      <c r="A40" s="25"/>
      <c r="G40" s="40"/>
    </row>
    <row r="41" spans="1:13" s="12" customFormat="1" ht="14.25" customHeight="1" thickBot="1">
      <c r="A41" s="25"/>
      <c r="B41" s="1879" t="s">
        <v>886</v>
      </c>
      <c r="C41" s="1880"/>
      <c r="D41" s="1880"/>
      <c r="E41" s="1880"/>
      <c r="F41" s="1880"/>
      <c r="G41" s="1880"/>
      <c r="H41" s="1880"/>
      <c r="I41" s="1880"/>
      <c r="J41" s="1469"/>
      <c r="K41" s="472"/>
    </row>
    <row r="42" spans="1:13" s="12" customFormat="1" ht="39.6">
      <c r="A42" s="25"/>
      <c r="B42" s="59" t="s">
        <v>875</v>
      </c>
      <c r="C42" s="399" t="s">
        <v>887</v>
      </c>
      <c r="D42" s="399" t="s">
        <v>888</v>
      </c>
      <c r="E42" s="399" t="s">
        <v>889</v>
      </c>
      <c r="F42" s="399" t="s">
        <v>235</v>
      </c>
      <c r="G42" s="399" t="s">
        <v>879</v>
      </c>
      <c r="H42" s="399" t="s">
        <v>880</v>
      </c>
      <c r="I42" s="400" t="s">
        <v>881</v>
      </c>
    </row>
    <row r="43" spans="1:13" s="12" customFormat="1" ht="14.45" thickBot="1">
      <c r="A43" s="25"/>
      <c r="B43" s="403" t="s">
        <v>890</v>
      </c>
      <c r="C43" s="1377">
        <f>$E$30</f>
        <v>633.5747074059243</v>
      </c>
      <c r="D43" s="1378">
        <f>$E$31</f>
        <v>5.0451319293434709E-2</v>
      </c>
      <c r="E43" s="1379">
        <f>$E$32</f>
        <v>7.039718971176937E-3</v>
      </c>
      <c r="F43" s="1380">
        <f>AVERAGE(C48:C50)</f>
        <v>0.42946272158305798</v>
      </c>
      <c r="G43" s="1381">
        <f>IFERROR(D43*(1-F43),0)/$D$140*$D$142</f>
        <v>1.3056354696379953E-8</v>
      </c>
      <c r="H43" s="1382">
        <f>IFERROR(C43*(1-F43),0)/$D$140*$D$142</f>
        <v>1.6396352409407387E-4</v>
      </c>
      <c r="I43" s="1383">
        <f>IFERROR(E43*(1-F43),0)/$D$140*$D$142</f>
        <v>1.8218169343785987E-9</v>
      </c>
    </row>
    <row r="44" spans="1:13" s="12" customFormat="1" ht="29.25" customHeight="1">
      <c r="A44" s="25"/>
      <c r="B44" s="1886" t="s">
        <v>891</v>
      </c>
      <c r="C44" s="1888"/>
      <c r="D44" s="1888"/>
      <c r="E44" s="1889"/>
      <c r="F44" s="559"/>
      <c r="G44" s="559"/>
      <c r="H44" s="559"/>
    </row>
    <row r="45" spans="1:13" s="12" customFormat="1" ht="14.45" thickBot="1">
      <c r="A45" s="25"/>
      <c r="G45" s="40"/>
    </row>
    <row r="46" spans="1:13" s="12" customFormat="1">
      <c r="A46" s="25"/>
      <c r="B46" s="1904" t="s">
        <v>892</v>
      </c>
      <c r="C46" s="1905"/>
      <c r="G46" s="40"/>
    </row>
    <row r="47" spans="1:13" s="12" customFormat="1" ht="27" thickBot="1">
      <c r="A47" s="25"/>
      <c r="B47" s="401" t="s">
        <v>893</v>
      </c>
      <c r="C47" s="402" t="s">
        <v>235</v>
      </c>
      <c r="G47" s="40"/>
    </row>
    <row r="48" spans="1:13" s="12" customFormat="1">
      <c r="A48" s="25"/>
      <c r="B48" s="560" t="s">
        <v>12</v>
      </c>
      <c r="C48" s="936">
        <f>'Adjust Inventory Year'!E27</f>
        <v>0.42121261951826283</v>
      </c>
      <c r="G48" s="40"/>
    </row>
    <row r="49" spans="1:16" s="12" customFormat="1">
      <c r="A49" s="25"/>
      <c r="B49" s="1170" t="s">
        <v>20</v>
      </c>
      <c r="C49" s="1171">
        <f>'Adjust Inventory Year'!E28</f>
        <v>0.44216324208130492</v>
      </c>
      <c r="G49" s="40"/>
    </row>
    <row r="50" spans="1:16" s="12" customFormat="1">
      <c r="A50" s="25"/>
      <c r="B50" s="1104" t="s">
        <v>236</v>
      </c>
      <c r="C50" s="1105">
        <f>'Adjust Inventory Year'!E29</f>
        <v>0.42501230314960631</v>
      </c>
      <c r="G50" s="40"/>
    </row>
    <row r="51" spans="1:16" s="12" customFormat="1" ht="14.45" thickBot="1">
      <c r="A51" s="25"/>
      <c r="B51" s="1104" t="s">
        <v>491</v>
      </c>
      <c r="C51" s="1105">
        <f>(C48*Inputs!$C$26)+('Emission Factors'!C49*Inputs!$C$27)</f>
        <v>0.42121261951826283</v>
      </c>
      <c r="G51" s="40"/>
    </row>
    <row r="52" spans="1:16" s="12" customFormat="1" ht="93.6" customHeight="1" thickBot="1">
      <c r="A52" s="25"/>
      <c r="B52" s="1899" t="s">
        <v>894</v>
      </c>
      <c r="C52" s="1900"/>
      <c r="D52" s="1143" t="s">
        <v>223</v>
      </c>
      <c r="E52" s="40"/>
      <c r="G52" s="40"/>
    </row>
    <row r="53" spans="1:16" s="12" customFormat="1" ht="14.45" thickBot="1">
      <c r="A53" s="25"/>
      <c r="G53" s="40"/>
    </row>
    <row r="54" spans="1:16" s="12" customFormat="1" ht="15.75" customHeight="1" thickBot="1">
      <c r="A54" s="25"/>
      <c r="B54" s="1879" t="s">
        <v>895</v>
      </c>
      <c r="C54" s="1880"/>
      <c r="D54" s="1880"/>
      <c r="E54" s="1880"/>
      <c r="F54" s="1880"/>
      <c r="G54" s="1880"/>
      <c r="H54" s="1880"/>
      <c r="I54" s="1880"/>
      <c r="J54" s="1880"/>
      <c r="K54" s="1880"/>
      <c r="L54" s="1880"/>
      <c r="M54" s="1880"/>
      <c r="N54" s="1880"/>
      <c r="O54" s="1880"/>
      <c r="P54" s="1885"/>
    </row>
    <row r="55" spans="1:16" s="12" customFormat="1" ht="52.9">
      <c r="A55" s="25"/>
      <c r="B55" s="59" t="s">
        <v>875</v>
      </c>
      <c r="C55" s="60" t="s">
        <v>896</v>
      </c>
      <c r="D55" s="398" t="s">
        <v>887</v>
      </c>
      <c r="E55" s="399" t="s">
        <v>888</v>
      </c>
      <c r="F55" s="400" t="s">
        <v>889</v>
      </c>
      <c r="G55" s="398" t="s">
        <v>897</v>
      </c>
      <c r="H55" s="399" t="s">
        <v>43</v>
      </c>
      <c r="I55" s="400" t="s">
        <v>898</v>
      </c>
      <c r="J55" s="1255" t="s">
        <v>899</v>
      </c>
      <c r="K55" s="400" t="s">
        <v>900</v>
      </c>
      <c r="L55" s="802" t="s">
        <v>879</v>
      </c>
      <c r="M55" s="399" t="s">
        <v>901</v>
      </c>
      <c r="N55" s="1089" t="s">
        <v>902</v>
      </c>
      <c r="O55" s="1261" t="s">
        <v>882</v>
      </c>
      <c r="P55" s="1262" t="s">
        <v>883</v>
      </c>
    </row>
    <row r="56" spans="1:16" s="12" customFormat="1">
      <c r="A56" s="25"/>
      <c r="B56" s="565" t="s">
        <v>903</v>
      </c>
      <c r="C56" s="796" t="str">
        <f>Inputs!C46</f>
        <v>No</v>
      </c>
      <c r="D56" s="1251" t="str">
        <f>IF(C56="Yes",$E$30,"N/A")</f>
        <v>N/A</v>
      </c>
      <c r="E56" s="566" t="str">
        <f>IF(C56="Yes",$E$31,"N/A")</f>
        <v>N/A</v>
      </c>
      <c r="F56" s="567" t="str">
        <f>IF(C56="Yes",$E$32,"N/A")</f>
        <v>N/A</v>
      </c>
      <c r="G56" s="1271" t="str">
        <f>IF(C56="Yes",'Adjust Inventory Year'!$C$74,"N/A")</f>
        <v>N/A</v>
      </c>
      <c r="H56" s="799">
        <f>Inputs!E46</f>
        <v>0</v>
      </c>
      <c r="I56" s="568">
        <f>IF(SUM(G56:H56)&gt;1,1,SUM(G56:H56))</f>
        <v>0</v>
      </c>
      <c r="J56" s="806" t="e">
        <f>Inputs!D46/Inputs!$D$50</f>
        <v>#DIV/0!</v>
      </c>
      <c r="K56" s="807" t="e">
        <f>Inputs!D51/Inputs!$D$55</f>
        <v>#DIV/0!</v>
      </c>
      <c r="L56" s="803">
        <f>IFERROR(E56*(1-I56),0)/$D$140*$D$142</f>
        <v>0</v>
      </c>
      <c r="M56" s="569">
        <f>IFERROR(D56*(1-I56),0)/$D$140*$D$142</f>
        <v>0</v>
      </c>
      <c r="N56" s="1256">
        <f>IFERROR(F56*(1-I56),0)/$D$140*$D$142</f>
        <v>0</v>
      </c>
      <c r="O56" s="1259">
        <f t="shared" ref="O56:O61" si="0">(M56)+(L56*$B$125)+(N56*$C$125)</f>
        <v>0</v>
      </c>
      <c r="P56" s="1260">
        <f t="shared" ref="P56:P61" si="1">(O56*$D$140)/$D$142</f>
        <v>0</v>
      </c>
    </row>
    <row r="57" spans="1:16" s="12" customFormat="1">
      <c r="A57" s="25"/>
      <c r="B57" s="419" t="s">
        <v>904</v>
      </c>
      <c r="C57" s="797" t="str">
        <f>Inputs!C47</f>
        <v>No</v>
      </c>
      <c r="D57" s="1252" t="str">
        <f>IF(C57="Yes",$E$30,"N/A")</f>
        <v>N/A</v>
      </c>
      <c r="E57" s="570" t="str">
        <f>IF(C57="Yes",$E$31,"N/A")</f>
        <v>N/A</v>
      </c>
      <c r="F57" s="571" t="str">
        <f>IF(C57="Yes",$E$32,"N/A")</f>
        <v>N/A</v>
      </c>
      <c r="G57" s="1272" t="str">
        <f>IF(C57="Yes",'Adjust Inventory Year'!$C$74,"N/A")</f>
        <v>N/A</v>
      </c>
      <c r="H57" s="800">
        <f>Inputs!E47</f>
        <v>0</v>
      </c>
      <c r="I57" s="572">
        <f>IF(SUM(G57:H57)&gt;1,1,SUM(G57:H57))</f>
        <v>0</v>
      </c>
      <c r="J57" s="808" t="e">
        <f>Inputs!D47/Inputs!$D$50</f>
        <v>#DIV/0!</v>
      </c>
      <c r="K57" s="809" t="e">
        <f>Inputs!D52/Inputs!$D$55</f>
        <v>#DIV/0!</v>
      </c>
      <c r="L57" s="804">
        <f>IFERROR(E57*(1-I57),0)/$D$140*$D$142</f>
        <v>0</v>
      </c>
      <c r="M57" s="573">
        <f>IFERROR(D57*(1-I57),0)/$D$140*$D$142</f>
        <v>0</v>
      </c>
      <c r="N57" s="1257">
        <f>IFERROR(F57*(1-I57),0)/$D$140*$D$142</f>
        <v>0</v>
      </c>
      <c r="O57" s="1259">
        <f t="shared" si="0"/>
        <v>0</v>
      </c>
      <c r="P57" s="1260">
        <f t="shared" si="1"/>
        <v>0</v>
      </c>
    </row>
    <row r="58" spans="1:16" s="12" customFormat="1">
      <c r="A58" s="25"/>
      <c r="B58" s="419" t="s">
        <v>905</v>
      </c>
      <c r="C58" s="797" t="str">
        <f>Inputs!C48</f>
        <v>No</v>
      </c>
      <c r="D58" s="1252" t="str">
        <f>IF(C58="Yes",$E$30,"N/A")</f>
        <v>N/A</v>
      </c>
      <c r="E58" s="570" t="str">
        <f>IF(C58="Yes",$E$31,"N/A")</f>
        <v>N/A</v>
      </c>
      <c r="F58" s="571" t="str">
        <f>IF(C58="Yes",$E$32,"N/A")</f>
        <v>N/A</v>
      </c>
      <c r="G58" s="1272" t="str">
        <f>IF(C58="Yes",'Adjust Inventory Year'!$C$74,"N/A")</f>
        <v>N/A</v>
      </c>
      <c r="H58" s="800">
        <f>Inputs!E48</f>
        <v>0</v>
      </c>
      <c r="I58" s="572">
        <f>IF(SUM(G58:H58)&gt;1,1,SUM(G58:H58))</f>
        <v>0</v>
      </c>
      <c r="J58" s="808" t="e">
        <f>Inputs!D48/Inputs!$D$50</f>
        <v>#DIV/0!</v>
      </c>
      <c r="K58" s="809" t="e">
        <f>Inputs!D53/Inputs!$D$55</f>
        <v>#DIV/0!</v>
      </c>
      <c r="L58" s="804">
        <f>IFERROR(E58*(1-I58),0)/$D$140*$D$142</f>
        <v>0</v>
      </c>
      <c r="M58" s="573">
        <f>IFERROR(D58*(1-I58),0)/$D$140*$D$142</f>
        <v>0</v>
      </c>
      <c r="N58" s="1257">
        <f>IFERROR(F58*(1-I58),0)/$D$140*$D$142</f>
        <v>0</v>
      </c>
      <c r="O58" s="1259">
        <f t="shared" si="0"/>
        <v>0</v>
      </c>
      <c r="P58" s="1260">
        <f t="shared" si="1"/>
        <v>0</v>
      </c>
    </row>
    <row r="59" spans="1:16" s="12" customFormat="1">
      <c r="A59" s="25"/>
      <c r="B59" s="574" t="s">
        <v>906</v>
      </c>
      <c r="C59" s="798" t="str">
        <f>Inputs!C49</f>
        <v>No</v>
      </c>
      <c r="D59" s="574" t="str">
        <f>IF(C59="Yes",$E$30,"N/A")</f>
        <v>N/A</v>
      </c>
      <c r="E59" s="575" t="str">
        <f>IF(C59="Yes",$E$31,"N/A")</f>
        <v>N/A</v>
      </c>
      <c r="F59" s="576" t="str">
        <f>IF(C59="Yes",$E$32,"N/A")</f>
        <v>N/A</v>
      </c>
      <c r="G59" s="577" t="str">
        <f>IF(C59="Yes",'Adjust Inventory Year'!$C$74,"N/A")</f>
        <v>N/A</v>
      </c>
      <c r="H59" s="801">
        <f>Inputs!E49</f>
        <v>0</v>
      </c>
      <c r="I59" s="578">
        <f>IF(SUM(G59:H59)&gt;1,1,SUM(G59:H59))</f>
        <v>0</v>
      </c>
      <c r="J59" s="810" t="e">
        <f>Inputs!D49/Inputs!$D$50</f>
        <v>#DIV/0!</v>
      </c>
      <c r="K59" s="811" t="e">
        <f>Inputs!D54/Inputs!$D$55</f>
        <v>#DIV/0!</v>
      </c>
      <c r="L59" s="805">
        <f>IFERROR(E59*(1-I59),0)/$D$140*$D$142</f>
        <v>0</v>
      </c>
      <c r="M59" s="579">
        <f>IFERROR(D59*(1-I59),0)/$D$140*$D$142</f>
        <v>0</v>
      </c>
      <c r="N59" s="1258">
        <f>IFERROR(F59*(1-I59),0)/$D$140*$D$142</f>
        <v>0</v>
      </c>
      <c r="O59" s="1263">
        <f t="shared" si="0"/>
        <v>0</v>
      </c>
      <c r="P59" s="1264">
        <f t="shared" si="1"/>
        <v>0</v>
      </c>
    </row>
    <row r="60" spans="1:16" s="12" customFormat="1">
      <c r="A60" s="25"/>
      <c r="B60" s="1893" t="s">
        <v>907</v>
      </c>
      <c r="C60" s="1894"/>
      <c r="D60" s="1894"/>
      <c r="E60" s="1894"/>
      <c r="F60" s="1894"/>
      <c r="G60" s="1894"/>
      <c r="H60" s="1894"/>
      <c r="I60" s="1894"/>
      <c r="J60" s="1894"/>
      <c r="K60" s="1895"/>
      <c r="L60" s="561" t="e">
        <f>(L56*J56)+(L57*J57)+(L58*J58)+(J59*L59)</f>
        <v>#DIV/0!</v>
      </c>
      <c r="M60" s="562" t="e">
        <f>(M56*J56)+(M57*J57)+(M58*J58)*(M59*J59)</f>
        <v>#DIV/0!</v>
      </c>
      <c r="N60" s="563" t="e">
        <f>(N56*J56)+(N57*J57)+(N58*J58)+(N59*J59)</f>
        <v>#DIV/0!</v>
      </c>
      <c r="O60" s="1265" t="e">
        <f t="shared" si="0"/>
        <v>#DIV/0!</v>
      </c>
      <c r="P60" s="1266" t="e">
        <f t="shared" si="1"/>
        <v>#DIV/0!</v>
      </c>
    </row>
    <row r="61" spans="1:16" s="12" customFormat="1" ht="14.45" thickBot="1">
      <c r="A61" s="25"/>
      <c r="B61" s="1896" t="s">
        <v>908</v>
      </c>
      <c r="C61" s="1897"/>
      <c r="D61" s="1897"/>
      <c r="E61" s="1897"/>
      <c r="F61" s="1897"/>
      <c r="G61" s="1897"/>
      <c r="H61" s="1897"/>
      <c r="I61" s="1897"/>
      <c r="J61" s="1897"/>
      <c r="K61" s="1898"/>
      <c r="L61" s="1384" t="e">
        <f>(L56*K56)+(L57*K57)+(L58*K58)+(K59*L59)</f>
        <v>#DIV/0!</v>
      </c>
      <c r="M61" s="564" t="e">
        <f>(M56*K56)+(M57*K57)+(M58*K58)*(M59*K59)</f>
        <v>#DIV/0!</v>
      </c>
      <c r="N61" s="1385" t="e">
        <f>(N56*K56)+(N57*K57)+(N58*K58)+(N59*K59)</f>
        <v>#DIV/0!</v>
      </c>
      <c r="O61" s="1267" t="e">
        <f t="shared" si="0"/>
        <v>#DIV/0!</v>
      </c>
      <c r="P61" s="1268" t="e">
        <f t="shared" si="1"/>
        <v>#DIV/0!</v>
      </c>
    </row>
    <row r="62" spans="1:16" s="12" customFormat="1" ht="49.9" customHeight="1">
      <c r="A62" s="25"/>
      <c r="B62" s="1886" t="s">
        <v>872</v>
      </c>
      <c r="C62" s="1887"/>
      <c r="D62" s="1887"/>
      <c r="E62" s="1887"/>
      <c r="F62" s="463" t="s">
        <v>873</v>
      </c>
      <c r="G62" s="559"/>
      <c r="J62" s="452"/>
    </row>
    <row r="63" spans="1:16" s="12" customFormat="1" ht="56.25" customHeight="1" thickBot="1">
      <c r="A63" s="25"/>
      <c r="B63" s="1901" t="s">
        <v>909</v>
      </c>
      <c r="C63" s="1902"/>
      <c r="D63" s="1902"/>
      <c r="E63" s="1903"/>
      <c r="F63" s="1386" t="s">
        <v>910</v>
      </c>
      <c r="G63" s="559"/>
    </row>
    <row r="64" spans="1:16" s="12" customFormat="1" ht="14.45" thickBot="1">
      <c r="A64" s="25"/>
      <c r="G64" s="40"/>
    </row>
    <row r="65" spans="1:11" s="12" customFormat="1" ht="16.5" customHeight="1" thickBot="1">
      <c r="A65" s="25"/>
      <c r="B65" s="1879" t="s">
        <v>911</v>
      </c>
      <c r="C65" s="1880"/>
      <c r="D65" s="1880"/>
      <c r="E65" s="1880"/>
      <c r="F65" s="1880"/>
      <c r="G65" s="1880"/>
      <c r="H65" s="1880"/>
      <c r="I65" s="1880"/>
      <c r="J65" s="1880"/>
      <c r="K65" s="1885"/>
    </row>
    <row r="66" spans="1:11" s="12" customFormat="1" ht="40.15" thickBot="1">
      <c r="A66" s="25"/>
      <c r="B66" s="59" t="s">
        <v>875</v>
      </c>
      <c r="C66" s="399" t="s">
        <v>876</v>
      </c>
      <c r="D66" s="399" t="s">
        <v>912</v>
      </c>
      <c r="E66" s="399" t="s">
        <v>878</v>
      </c>
      <c r="F66" s="399" t="s">
        <v>235</v>
      </c>
      <c r="G66" s="399" t="s">
        <v>879</v>
      </c>
      <c r="H66" s="399" t="s">
        <v>880</v>
      </c>
      <c r="I66" s="1089" t="s">
        <v>881</v>
      </c>
      <c r="J66" s="399" t="s">
        <v>882</v>
      </c>
      <c r="K66" s="1253" t="s">
        <v>883</v>
      </c>
    </row>
    <row r="67" spans="1:11" s="12" customFormat="1" ht="14.45" thickBot="1">
      <c r="A67" s="25"/>
      <c r="B67" s="403" t="s">
        <v>913</v>
      </c>
      <c r="C67" s="1377">
        <f>$E$30</f>
        <v>633.5747074059243</v>
      </c>
      <c r="D67" s="1378">
        <f>$E$31</f>
        <v>5.0451319293434709E-2</v>
      </c>
      <c r="E67" s="1379">
        <f>$E$32</f>
        <v>7.039718971176937E-3</v>
      </c>
      <c r="F67" s="1387" t="e">
        <f>INDEX($C$73:$C$114,MATCH(Inputs!$C$21,'Emission Factors'!$B$73:$B$114,0))</f>
        <v>#N/A</v>
      </c>
      <c r="G67" s="1381">
        <f>IFERROR($D$67*(1-$F$67),0)/$D$140*$D$142</f>
        <v>0</v>
      </c>
      <c r="H67" s="1382">
        <f>IFERROR($C$67*(1-$F$67),0)/$D$140*$D$142</f>
        <v>0</v>
      </c>
      <c r="I67" s="1388">
        <f>IFERROR($E$67*(1-$F$67),0)/$D$140*$D$142</f>
        <v>0</v>
      </c>
      <c r="J67" s="1383">
        <f>(H67)+(G67*$B$125)+(I67*$C$125)</f>
        <v>0</v>
      </c>
      <c r="K67" s="1254">
        <f>(J67*$D$140)/$D$142</f>
        <v>0</v>
      </c>
    </row>
    <row r="68" spans="1:11" s="12" customFormat="1" ht="45.75" customHeight="1">
      <c r="A68" s="25"/>
      <c r="B68" s="1886" t="s">
        <v>872</v>
      </c>
      <c r="C68" s="1887"/>
      <c r="D68" s="1887"/>
      <c r="E68" s="1887"/>
      <c r="F68" s="463" t="s">
        <v>873</v>
      </c>
      <c r="G68" s="559"/>
      <c r="I68" s="405"/>
    </row>
    <row r="69" spans="1:11" s="12" customFormat="1" ht="42.6" customHeight="1" thickBot="1">
      <c r="A69" s="25"/>
      <c r="B69" s="1906" t="s">
        <v>914</v>
      </c>
      <c r="C69" s="1907"/>
      <c r="D69" s="1907"/>
      <c r="E69" s="1907"/>
      <c r="F69" s="1386"/>
      <c r="G69" s="559"/>
      <c r="I69" s="405"/>
    </row>
    <row r="70" spans="1:11" s="12" customFormat="1" ht="14.45" thickBot="1">
      <c r="A70" s="25"/>
      <c r="G70" s="40"/>
    </row>
    <row r="71" spans="1:11" s="12" customFormat="1" ht="16.5" customHeight="1">
      <c r="A71" s="25"/>
      <c r="B71" s="1904" t="s">
        <v>915</v>
      </c>
      <c r="C71" s="1905"/>
      <c r="G71" s="40"/>
    </row>
    <row r="72" spans="1:11" s="12" customFormat="1" ht="27" thickBot="1">
      <c r="A72" s="25"/>
      <c r="B72" s="401" t="s">
        <v>916</v>
      </c>
      <c r="C72" s="402" t="s">
        <v>235</v>
      </c>
      <c r="G72" s="40"/>
    </row>
    <row r="73" spans="1:11" s="12" customFormat="1">
      <c r="A73" s="25"/>
      <c r="B73" s="580" t="s">
        <v>237</v>
      </c>
      <c r="C73" s="937">
        <f>INDEX('Adjust Inventory Year'!$E$27:$E$69,MATCH('Emission Factors'!$B73,'Adjust Inventory Year'!$B$27:$B$69,0))</f>
        <v>0.33500000000000002</v>
      </c>
      <c r="D73" s="3"/>
      <c r="G73" s="40"/>
    </row>
    <row r="74" spans="1:11" s="12" customFormat="1">
      <c r="A74" s="25"/>
      <c r="B74" s="581" t="s">
        <v>238</v>
      </c>
      <c r="C74" s="937">
        <f>INDEX('Adjust Inventory Year'!$E$27:$E$69,MATCH('Emission Factors'!$B74,'Adjust Inventory Year'!$B$27:$B$69,0))</f>
        <v>0.38400000000000001</v>
      </c>
      <c r="D74" s="3"/>
      <c r="G74" s="40"/>
    </row>
    <row r="75" spans="1:11" s="12" customFormat="1">
      <c r="A75" s="25"/>
      <c r="B75" s="581" t="s">
        <v>239</v>
      </c>
      <c r="C75" s="937">
        <f>INDEX('Adjust Inventory Year'!$E$27:$E$69,MATCH('Emission Factors'!$B75,'Adjust Inventory Year'!$B$27:$B$69,0))</f>
        <v>0.38800000000000001</v>
      </c>
      <c r="D75" s="3"/>
      <c r="G75" s="40"/>
    </row>
    <row r="76" spans="1:11" s="12" customFormat="1">
      <c r="A76" s="25"/>
      <c r="B76" s="581" t="s">
        <v>240</v>
      </c>
      <c r="C76" s="937">
        <f>INDEX('Adjust Inventory Year'!$E$27:$E$69,MATCH('Emission Factors'!$B76,'Adjust Inventory Year'!$B$27:$B$69,0))</f>
        <v>0.56999999999999995</v>
      </c>
      <c r="D76" s="3"/>
      <c r="G76" s="40"/>
    </row>
    <row r="77" spans="1:11" s="12" customFormat="1">
      <c r="A77" s="25"/>
      <c r="B77" s="581" t="s">
        <v>241</v>
      </c>
      <c r="C77" s="937">
        <f>INDEX('Adjust Inventory Year'!$E$27:$E$69,MATCH('Emission Factors'!$B77,'Adjust Inventory Year'!$B$27:$B$69,0))</f>
        <v>8.5999999999999993E-2</v>
      </c>
      <c r="D77" s="3"/>
      <c r="G77" s="40"/>
    </row>
    <row r="78" spans="1:11" s="12" customFormat="1">
      <c r="A78" s="25"/>
      <c r="B78" s="581" t="s">
        <v>242</v>
      </c>
      <c r="C78" s="937">
        <f>INDEX('Adjust Inventory Year'!$E$27:$E$69,MATCH('Emission Factors'!$B78,'Adjust Inventory Year'!$B$27:$B$69,0))</f>
        <v>4.7E-2</v>
      </c>
      <c r="D78" s="3"/>
      <c r="G78" s="40"/>
    </row>
    <row r="79" spans="1:11" s="12" customFormat="1">
      <c r="A79" s="25"/>
      <c r="B79" s="581" t="s">
        <v>243</v>
      </c>
      <c r="C79" s="937">
        <f>INDEX('Adjust Inventory Year'!$E$27:$E$69,MATCH('Emission Factors'!$B79,'Adjust Inventory Year'!$B$27:$B$69,0))</f>
        <v>0.92730655313903521</v>
      </c>
      <c r="D79" s="3"/>
      <c r="G79" s="40"/>
    </row>
    <row r="80" spans="1:11" s="12" customFormat="1">
      <c r="A80" s="25"/>
      <c r="B80" s="581" t="s">
        <v>244</v>
      </c>
      <c r="C80" s="937">
        <f>INDEX('Adjust Inventory Year'!$E$27:$E$69,MATCH('Emission Factors'!$B80,'Adjust Inventory Year'!$B$27:$B$69,0))</f>
        <v>0.502</v>
      </c>
      <c r="D80" s="3"/>
      <c r="G80" s="40"/>
    </row>
    <row r="81" spans="1:7" s="12" customFormat="1">
      <c r="A81" s="25"/>
      <c r="B81" s="581" t="s">
        <v>245</v>
      </c>
      <c r="C81" s="937">
        <f>INDEX('Adjust Inventory Year'!$E$27:$E$69,MATCH('Emission Factors'!$B81,'Adjust Inventory Year'!$B$27:$B$69,0))</f>
        <v>0.44</v>
      </c>
      <c r="D81" s="3"/>
      <c r="G81" s="40"/>
    </row>
    <row r="82" spans="1:7" s="12" customFormat="1">
      <c r="A82" s="25"/>
      <c r="B82" s="581" t="s">
        <v>246</v>
      </c>
      <c r="C82" s="937">
        <f>INDEX('Adjust Inventory Year'!$E$27:$E$69,MATCH('Emission Factors'!$B82,'Adjust Inventory Year'!$B$27:$B$69,0))</f>
        <v>0.27400000000000002</v>
      </c>
      <c r="D82" s="3"/>
      <c r="G82" s="40"/>
    </row>
    <row r="83" spans="1:7" s="12" customFormat="1">
      <c r="A83" s="25"/>
      <c r="B83" s="581" t="s">
        <v>247</v>
      </c>
      <c r="C83" s="937">
        <f>INDEX('Adjust Inventory Year'!$E$27:$E$69,MATCH('Emission Factors'!$B83,'Adjust Inventory Year'!$B$27:$B$69,0))</f>
        <v>0.125</v>
      </c>
      <c r="D83" s="3"/>
      <c r="G83" s="40"/>
    </row>
    <row r="84" spans="1:7" s="12" customFormat="1">
      <c r="A84" s="25"/>
      <c r="B84" s="581" t="s">
        <v>248</v>
      </c>
      <c r="C84" s="937">
        <f>INDEX('Adjust Inventory Year'!$E$27:$E$69,MATCH('Emission Factors'!$B84,'Adjust Inventory Year'!$B$27:$B$69,0))</f>
        <v>0.442</v>
      </c>
      <c r="D84" s="3"/>
      <c r="G84" s="40"/>
    </row>
    <row r="85" spans="1:7" s="12" customFormat="1">
      <c r="A85" s="25"/>
      <c r="B85" s="581" t="s">
        <v>249</v>
      </c>
      <c r="C85" s="937">
        <f>INDEX('Adjust Inventory Year'!$E$27:$E$69,MATCH('Emission Factors'!$B85,'Adjust Inventory Year'!$B$27:$B$69,0))</f>
        <v>0.53</v>
      </c>
      <c r="D85" s="3"/>
      <c r="G85" s="40"/>
    </row>
    <row r="86" spans="1:7" s="12" customFormat="1">
      <c r="A86" s="25"/>
      <c r="B86" s="581" t="s">
        <v>250</v>
      </c>
      <c r="C86" s="937">
        <f>INDEX('Adjust Inventory Year'!$E$27:$E$69,MATCH('Emission Factors'!$B86,'Adjust Inventory Year'!$B$27:$B$69,0))</f>
        <v>0.34699999999999998</v>
      </c>
      <c r="D86" s="3"/>
      <c r="G86" s="40"/>
    </row>
    <row r="87" spans="1:7" s="12" customFormat="1">
      <c r="A87" s="25"/>
      <c r="B87" s="581" t="s">
        <v>251</v>
      </c>
      <c r="C87" s="937">
        <f>INDEX('Adjust Inventory Year'!$E$27:$E$69,MATCH('Emission Factors'!$B87,'Adjust Inventory Year'!$B$27:$B$69,0))</f>
        <v>0.88400000000000001</v>
      </c>
      <c r="D87" s="3"/>
      <c r="G87" s="40"/>
    </row>
    <row r="88" spans="1:7" s="12" customFormat="1">
      <c r="A88" s="25"/>
      <c r="B88" s="581" t="s">
        <v>252</v>
      </c>
      <c r="C88" s="937">
        <f>INDEX('Adjust Inventory Year'!$E$27:$E$69,MATCH('Emission Factors'!$B88,'Adjust Inventory Year'!$B$27:$B$69,0))</f>
        <v>0.51</v>
      </c>
      <c r="D88" s="3"/>
      <c r="G88" s="40"/>
    </row>
    <row r="89" spans="1:7" s="12" customFormat="1">
      <c r="A89" s="25"/>
      <c r="B89" s="581" t="s">
        <v>253</v>
      </c>
      <c r="C89" s="937">
        <f>INDEX('Adjust Inventory Year'!$E$27:$E$69,MATCH('Emission Factors'!$B89,'Adjust Inventory Year'!$B$27:$B$69,0))</f>
        <v>0.218</v>
      </c>
      <c r="D89" s="3"/>
      <c r="G89" s="40"/>
    </row>
    <row r="90" spans="1:7" s="12" customFormat="1">
      <c r="A90" s="25"/>
      <c r="B90" s="581" t="s">
        <v>254</v>
      </c>
      <c r="C90" s="937">
        <f>INDEX('Adjust Inventory Year'!$E$27:$E$69,MATCH('Emission Factors'!$B90,'Adjust Inventory Year'!$B$27:$B$69,0))</f>
        <v>7.4999999999999997E-2</v>
      </c>
      <c r="D90" s="3"/>
      <c r="G90" s="40"/>
    </row>
    <row r="91" spans="1:7" s="12" customFormat="1">
      <c r="A91" s="25"/>
      <c r="B91" s="581" t="s">
        <v>255</v>
      </c>
      <c r="C91" s="937">
        <f>INDEX('Adjust Inventory Year'!$E$27:$E$69,MATCH('Emission Factors'!$B91,'Adjust Inventory Year'!$B$27:$B$69,0))</f>
        <v>0.47699999999999998</v>
      </c>
      <c r="D91" s="3"/>
      <c r="G91" s="40"/>
    </row>
    <row r="92" spans="1:7" s="12" customFormat="1">
      <c r="A92" s="25"/>
      <c r="B92" s="581" t="s">
        <v>256</v>
      </c>
      <c r="C92" s="937">
        <f>INDEX('Adjust Inventory Year'!$E$27:$E$69,MATCH('Emission Factors'!$B92,'Adjust Inventory Year'!$B$27:$B$69,0))</f>
        <v>0.35499999999999998</v>
      </c>
      <c r="D92" s="3"/>
      <c r="G92" s="40"/>
    </row>
    <row r="93" spans="1:7" s="12" customFormat="1">
      <c r="A93" s="25"/>
      <c r="B93" s="581" t="s">
        <v>257</v>
      </c>
      <c r="C93" s="937">
        <f>INDEX('Adjust Inventory Year'!$E$27:$E$69,MATCH('Emission Factors'!$B93,'Adjust Inventory Year'!$B$27:$B$69,0))</f>
        <v>0.214</v>
      </c>
      <c r="D93" s="3"/>
      <c r="G93" s="40"/>
    </row>
    <row r="94" spans="1:7" s="12" customFormat="1">
      <c r="A94" s="25"/>
      <c r="B94" s="581" t="s">
        <v>258</v>
      </c>
      <c r="C94" s="937">
        <f>INDEX('Adjust Inventory Year'!$E$27:$E$69,MATCH('Emission Factors'!$B94,'Adjust Inventory Year'!$B$27:$B$69,0))</f>
        <v>0.63400000000000001</v>
      </c>
      <c r="D94" s="3"/>
      <c r="G94" s="40"/>
    </row>
    <row r="95" spans="1:7" s="12" customFormat="1">
      <c r="A95" s="25"/>
      <c r="B95" s="581" t="s">
        <v>259</v>
      </c>
      <c r="C95" s="937">
        <f>INDEX('Adjust Inventory Year'!$E$27:$E$69,MATCH('Emission Factors'!$B95,'Adjust Inventory Year'!$B$27:$B$69,0))</f>
        <v>0.34899999999999998</v>
      </c>
      <c r="D95" s="3"/>
      <c r="G95" s="40"/>
    </row>
    <row r="96" spans="1:7" s="12" customFormat="1">
      <c r="A96" s="25"/>
      <c r="B96" s="581" t="s">
        <v>14</v>
      </c>
      <c r="C96" s="937" t="e">
        <f>INDEX('Adjust Inventory Year'!$E$27:$E$69,MATCH('Emission Factors'!$B96,'Adjust Inventory Year'!$B$27:$B$69,0))</f>
        <v>#N/A</v>
      </c>
      <c r="D96" s="3"/>
      <c r="G96" s="40"/>
    </row>
    <row r="97" spans="1:7" s="12" customFormat="1">
      <c r="A97" s="25"/>
      <c r="B97" s="581" t="s">
        <v>260</v>
      </c>
      <c r="C97" s="937">
        <f>INDEX('Adjust Inventory Year'!$E$27:$E$69,MATCH('Emission Factors'!$B97,'Adjust Inventory Year'!$B$27:$B$69,0))</f>
        <v>0.27</v>
      </c>
      <c r="D97" s="3"/>
      <c r="G97" s="40"/>
    </row>
    <row r="98" spans="1:7" s="12" customFormat="1">
      <c r="A98" s="25"/>
      <c r="B98" s="581" t="s">
        <v>261</v>
      </c>
      <c r="C98" s="937">
        <f>INDEX('Adjust Inventory Year'!$E$27:$E$69,MATCH('Emission Factors'!$B98,'Adjust Inventory Year'!$B$27:$B$69,0))</f>
        <v>0.29299999999999998</v>
      </c>
      <c r="D98" s="3"/>
      <c r="G98" s="40"/>
    </row>
    <row r="99" spans="1:7" s="12" customFormat="1">
      <c r="A99" s="25"/>
      <c r="B99" s="581" t="s">
        <v>480</v>
      </c>
      <c r="C99" s="937" t="e">
        <f>INDEX('Adjust Inventory Year'!$E$27:$E$69,MATCH('Emission Factors'!$B99,'Adjust Inventory Year'!$B$27:$B$69,0))</f>
        <v>#N/A</v>
      </c>
      <c r="D99" s="3"/>
      <c r="G99" s="40"/>
    </row>
    <row r="100" spans="1:7" s="12" customFormat="1">
      <c r="A100" s="25"/>
      <c r="B100" s="581" t="s">
        <v>262</v>
      </c>
      <c r="C100" s="937">
        <f>INDEX('Adjust Inventory Year'!$E$27:$E$69,MATCH('Emission Factors'!$B100,'Adjust Inventory Year'!$B$27:$B$69,0))</f>
        <v>0.54200000000000004</v>
      </c>
      <c r="D100" s="3"/>
      <c r="G100" s="40"/>
    </row>
    <row r="101" spans="1:7" s="12" customFormat="1">
      <c r="A101" s="25"/>
      <c r="B101" s="581" t="s">
        <v>263</v>
      </c>
      <c r="C101" s="937">
        <f>INDEX('Adjust Inventory Year'!$E$27:$E$69,MATCH('Emission Factors'!$B101,'Adjust Inventory Year'!$B$27:$B$69,0))</f>
        <v>0.35199999999999998</v>
      </c>
      <c r="D101" s="3"/>
      <c r="G101" s="40"/>
    </row>
    <row r="102" spans="1:7" s="12" customFormat="1">
      <c r="A102" s="25"/>
      <c r="B102" s="581" t="s">
        <v>264</v>
      </c>
      <c r="C102" s="937">
        <f>INDEX('Adjust Inventory Year'!$E$27:$E$69,MATCH('Emission Factors'!$B102,'Adjust Inventory Year'!$B$27:$B$69,0))</f>
        <v>0.08</v>
      </c>
      <c r="D102" s="3"/>
      <c r="G102" s="40"/>
    </row>
    <row r="103" spans="1:7" s="12" customFormat="1">
      <c r="A103" s="25"/>
      <c r="B103" s="581" t="s">
        <v>265</v>
      </c>
      <c r="C103" s="937">
        <f>INDEX('Adjust Inventory Year'!$E$27:$E$69,MATCH('Emission Factors'!$B103,'Adjust Inventory Year'!$B$27:$B$69,0))</f>
        <v>0.26700000000000002</v>
      </c>
      <c r="D103" s="3"/>
      <c r="G103" s="40"/>
    </row>
    <row r="104" spans="1:7" s="12" customFormat="1">
      <c r="A104" s="25"/>
      <c r="B104" s="581" t="s">
        <v>266</v>
      </c>
      <c r="C104" s="937">
        <f>INDEX('Adjust Inventory Year'!$E$27:$E$69,MATCH('Emission Factors'!$B104,'Adjust Inventory Year'!$B$27:$B$69,0))</f>
        <v>9.0999999999999998E-2</v>
      </c>
      <c r="G104" s="40"/>
    </row>
    <row r="105" spans="1:7" s="12" customFormat="1">
      <c r="A105" s="25"/>
      <c r="B105" s="581" t="s">
        <v>267</v>
      </c>
      <c r="C105" s="937">
        <f>INDEX('Adjust Inventory Year'!$E$27:$E$69,MATCH('Emission Factors'!$B105,'Adjust Inventory Year'!$B$27:$B$69,0))</f>
        <v>7.4999999999999997E-2</v>
      </c>
      <c r="G105" s="40"/>
    </row>
    <row r="106" spans="1:7" s="12" customFormat="1">
      <c r="A106" s="25"/>
      <c r="B106" s="581" t="s">
        <v>268</v>
      </c>
      <c r="C106" s="937">
        <f>INDEX('Adjust Inventory Year'!$E$27:$E$69,MATCH('Emission Factors'!$B106,'Adjust Inventory Year'!$B$27:$B$69,0))</f>
        <v>0.35399999999999998</v>
      </c>
      <c r="G106" s="40"/>
    </row>
    <row r="107" spans="1:7" s="12" customFormat="1">
      <c r="A107" s="25"/>
      <c r="B107" s="581" t="s">
        <v>269</v>
      </c>
      <c r="C107" s="937">
        <f>INDEX('Adjust Inventory Year'!$E$27:$E$69,MATCH('Emission Factors'!$B107,'Adjust Inventory Year'!$B$27:$B$69,0))</f>
        <v>0.83499999999999996</v>
      </c>
      <c r="G107" s="40"/>
    </row>
    <row r="108" spans="1:7" s="12" customFormat="1">
      <c r="A108" s="25"/>
      <c r="B108" s="581" t="s">
        <v>270</v>
      </c>
      <c r="C108" s="937">
        <f>INDEX('Adjust Inventory Year'!$E$27:$E$69,MATCH('Emission Factors'!$B108,'Adjust Inventory Year'!$B$27:$B$69,0))</f>
        <v>0.39400000000000002</v>
      </c>
      <c r="G108" s="40"/>
    </row>
    <row r="109" spans="1:7" s="12" customFormat="1">
      <c r="A109" s="25"/>
      <c r="B109" s="581" t="s">
        <v>271</v>
      </c>
      <c r="C109" s="937">
        <f>INDEX('Adjust Inventory Year'!$E$27:$E$69,MATCH('Emission Factors'!$B109,'Adjust Inventory Year'!$B$27:$B$69,0))</f>
        <v>0.26900000000000002</v>
      </c>
      <c r="G109" s="40"/>
    </row>
    <row r="110" spans="1:7" s="12" customFormat="1">
      <c r="A110" s="25"/>
      <c r="B110" s="581" t="s">
        <v>272</v>
      </c>
      <c r="C110" s="937">
        <f>INDEX('Adjust Inventory Year'!$E$27:$E$69,MATCH('Emission Factors'!$B110,'Adjust Inventory Year'!$B$27:$B$69,0))</f>
        <v>0.442</v>
      </c>
      <c r="G110" s="40"/>
    </row>
    <row r="111" spans="1:7" s="12" customFormat="1">
      <c r="A111" s="25"/>
      <c r="B111" s="581" t="s">
        <v>273</v>
      </c>
      <c r="C111" s="937">
        <f>INDEX('Adjust Inventory Year'!$E$27:$E$69,MATCH('Emission Factors'!$B111,'Adjust Inventory Year'!$B$27:$B$69,0))</f>
        <v>0.40699999999999997</v>
      </c>
      <c r="G111" s="40"/>
    </row>
    <row r="112" spans="1:7" s="12" customFormat="1">
      <c r="A112" s="25"/>
      <c r="B112" s="581" t="s">
        <v>274</v>
      </c>
      <c r="C112" s="937">
        <f>INDEX('Adjust Inventory Year'!$E$27:$E$69,MATCH('Emission Factors'!$B112,'Adjust Inventory Year'!$B$27:$B$69,0))</f>
        <v>0.55200000000000005</v>
      </c>
      <c r="G112" s="40"/>
    </row>
    <row r="113" spans="1:14" s="12" customFormat="1">
      <c r="A113" s="25"/>
      <c r="B113" s="581" t="s">
        <v>275</v>
      </c>
      <c r="C113" s="937">
        <f>INDEX('Adjust Inventory Year'!$E$27:$E$69,MATCH('Emission Factors'!$B113,'Adjust Inventory Year'!$B$27:$B$69,0))</f>
        <v>0.51100000000000001</v>
      </c>
      <c r="G113" s="40"/>
    </row>
    <row r="114" spans="1:14" s="12" customFormat="1" ht="14.45" thickBot="1">
      <c r="A114" s="25"/>
      <c r="B114" s="582" t="s">
        <v>276</v>
      </c>
      <c r="C114" s="937">
        <f>INDEX('Adjust Inventory Year'!$E$27:$E$69,MATCH('Emission Factors'!$B114,'Adjust Inventory Year'!$B$27:$B$69,0))</f>
        <v>0.39</v>
      </c>
      <c r="G114" s="40"/>
    </row>
    <row r="115" spans="1:14" s="12" customFormat="1" ht="49.5" customHeight="1" thickBot="1">
      <c r="A115" s="25"/>
      <c r="B115" s="1899" t="s">
        <v>917</v>
      </c>
      <c r="C115" s="1908"/>
      <c r="D115" s="1143" t="s">
        <v>223</v>
      </c>
    </row>
    <row r="116" spans="1:14" s="12" customFormat="1" ht="14.45" thickBot="1">
      <c r="A116" s="25"/>
      <c r="B116" s="3"/>
      <c r="C116" s="3"/>
      <c r="D116" s="3"/>
    </row>
    <row r="117" spans="1:14" s="12" customFormat="1" ht="18" customHeight="1" thickBot="1">
      <c r="A117" s="25"/>
      <c r="B117" s="1890" t="s">
        <v>918</v>
      </c>
      <c r="C117" s="1717"/>
      <c r="D117" s="1717"/>
      <c r="E117" s="1717"/>
      <c r="F117" s="1717"/>
      <c r="G117" s="1717"/>
      <c r="H117" s="1717"/>
      <c r="I117" s="1670"/>
    </row>
    <row r="118" spans="1:14" s="12" customFormat="1" ht="26.45">
      <c r="A118" s="25"/>
      <c r="B118" s="1178" t="s">
        <v>396</v>
      </c>
      <c r="C118" s="1179" t="s">
        <v>919</v>
      </c>
      <c r="D118" s="554" t="s">
        <v>920</v>
      </c>
      <c r="E118" s="1179" t="s">
        <v>921</v>
      </c>
      <c r="F118" s="1179" t="s">
        <v>922</v>
      </c>
      <c r="G118" s="555" t="s">
        <v>879</v>
      </c>
      <c r="H118" s="555" t="s">
        <v>880</v>
      </c>
      <c r="I118" s="556" t="s">
        <v>881</v>
      </c>
    </row>
    <row r="119" spans="1:14" s="12" customFormat="1">
      <c r="A119" s="25"/>
      <c r="B119" s="583" t="s">
        <v>397</v>
      </c>
      <c r="C119" s="584">
        <f>SUM('Stationary Energy - Buildings'!D11:D13)</f>
        <v>0</v>
      </c>
      <c r="D119" s="585">
        <f>SUMIF('Stationary Energy - Buildings'!F11:F13,"&lt;&gt;#DIV/0!",'Stationary Energy - Buildings'!F11:F13)</f>
        <v>0</v>
      </c>
      <c r="E119" s="585">
        <f>SUMIF('Stationary Energy - Buildings'!G11:G13,"&lt;&gt;#DIV/0!",'Stationary Energy - Buildings'!G11:G13)</f>
        <v>0</v>
      </c>
      <c r="F119" s="585">
        <f>SUMIF('Stationary Energy - Buildings'!H11:H13,"&lt;&gt;#DIV/0!",'Stationary Energy - Buildings'!H11:H13)</f>
        <v>0</v>
      </c>
      <c r="G119" s="586" t="e">
        <f t="shared" ref="G119:I120" si="2">D119/$C119</f>
        <v>#DIV/0!</v>
      </c>
      <c r="H119" s="586" t="e">
        <f t="shared" si="2"/>
        <v>#DIV/0!</v>
      </c>
      <c r="I119" s="587" t="e">
        <f t="shared" si="2"/>
        <v>#DIV/0!</v>
      </c>
    </row>
    <row r="120" spans="1:14" s="12" customFormat="1" ht="27" thickBot="1">
      <c r="A120" s="25"/>
      <c r="B120" s="588" t="s">
        <v>414</v>
      </c>
      <c r="C120" s="589">
        <f>SUM('Stationary Energy - Buildings'!D16:D18)</f>
        <v>0</v>
      </c>
      <c r="D120" s="590">
        <f>SUMIF('Stationary Energy - Buildings'!F16:F18,"&lt;&gt;#DIV/0!",'Stationary Energy - Buildings'!F16:F18)</f>
        <v>0</v>
      </c>
      <c r="E120" s="590">
        <f>SUMIF('Stationary Energy - Buildings'!G16:G18,"&lt;&gt;#DIV/0!",'Stationary Energy - Buildings'!G16:G18)</f>
        <v>0</v>
      </c>
      <c r="F120" s="590">
        <f>SUMIF('Stationary Energy - Buildings'!H16:H18,"&lt;&gt;#DIV/0!",'Stationary Energy - Buildings'!H16:H18)</f>
        <v>0</v>
      </c>
      <c r="G120" s="591" t="e">
        <f>D120/$C120</f>
        <v>#DIV/0!</v>
      </c>
      <c r="H120" s="591" t="e">
        <f t="shared" si="2"/>
        <v>#DIV/0!</v>
      </c>
      <c r="I120" s="592" t="e">
        <f t="shared" si="2"/>
        <v>#DIV/0!</v>
      </c>
    </row>
    <row r="121" spans="1:14" s="12" customFormat="1" ht="42.75" customHeight="1" thickBot="1">
      <c r="A121" s="25"/>
      <c r="B121" s="1912" t="s">
        <v>923</v>
      </c>
      <c r="C121" s="1913"/>
      <c r="D121" s="1913"/>
      <c r="E121" s="1914"/>
      <c r="G121" s="40"/>
    </row>
    <row r="122" spans="1:14" s="12" customFormat="1" ht="14.45" thickBot="1">
      <c r="A122" s="25"/>
      <c r="B122" s="41"/>
      <c r="C122" s="30"/>
      <c r="D122" s="30"/>
      <c r="E122" s="30"/>
      <c r="F122" s="30"/>
      <c r="G122" s="30"/>
      <c r="H122" s="40"/>
      <c r="I122" s="40"/>
    </row>
    <row r="123" spans="1:14" s="12" customFormat="1" ht="14.45" thickBot="1">
      <c r="A123" s="25"/>
      <c r="B123" s="1682" t="s">
        <v>924</v>
      </c>
      <c r="C123" s="1860"/>
      <c r="D123" s="1911"/>
      <c r="E123" s="553"/>
      <c r="F123" s="25"/>
      <c r="G123" s="40"/>
      <c r="H123" s="40"/>
      <c r="I123" s="40"/>
    </row>
    <row r="124" spans="1:14" s="12" customFormat="1" ht="14.45" thickBot="1">
      <c r="A124" s="25"/>
      <c r="B124" s="56" t="s">
        <v>285</v>
      </c>
      <c r="C124" s="57" t="s">
        <v>286</v>
      </c>
      <c r="D124" s="58" t="s">
        <v>407</v>
      </c>
      <c r="E124" s="25"/>
      <c r="F124" s="25"/>
      <c r="G124" s="40"/>
      <c r="H124" s="40"/>
      <c r="I124" s="40"/>
    </row>
    <row r="125" spans="1:14" s="12" customFormat="1" ht="14.45" thickBot="1">
      <c r="A125" s="25"/>
      <c r="B125" s="938">
        <f>'Adjust Inventory Year'!B79</f>
        <v>29.8</v>
      </c>
      <c r="C125" s="1389">
        <f>'Adjust Inventory Year'!C79</f>
        <v>273</v>
      </c>
      <c r="D125" s="1143" t="s">
        <v>925</v>
      </c>
      <c r="E125" s="25"/>
      <c r="F125" s="25"/>
      <c r="G125" s="41"/>
      <c r="H125" s="40"/>
      <c r="I125" s="30"/>
    </row>
    <row r="126" spans="1:14" s="12" customFormat="1" ht="14.45" thickBot="1">
      <c r="A126" s="25"/>
      <c r="B126" s="1909"/>
      <c r="C126" s="1910"/>
      <c r="D126" s="25"/>
      <c r="E126" s="25"/>
      <c r="F126" s="25"/>
      <c r="G126" s="40"/>
      <c r="H126" s="40"/>
      <c r="I126" s="40"/>
    </row>
    <row r="127" spans="1:14" s="12" customFormat="1" ht="14.45" customHeight="1" thickBot="1">
      <c r="A127" s="25"/>
      <c r="B127" s="1682" t="s">
        <v>926</v>
      </c>
      <c r="C127" s="1860"/>
      <c r="D127" s="1860"/>
      <c r="E127" s="1860"/>
      <c r="F127" s="1860"/>
      <c r="G127" s="1860"/>
      <c r="H127" s="1860"/>
      <c r="I127" s="1683"/>
      <c r="J127" s="4"/>
      <c r="K127" s="4"/>
      <c r="L127" s="4"/>
    </row>
    <row r="128" spans="1:14" s="12" customFormat="1" ht="15" customHeight="1" thickBot="1">
      <c r="A128" s="25"/>
      <c r="B128" s="59" t="s">
        <v>215</v>
      </c>
      <c r="C128" s="232" t="s">
        <v>927</v>
      </c>
      <c r="D128" s="233" t="s">
        <v>928</v>
      </c>
      <c r="E128" s="232" t="s">
        <v>929</v>
      </c>
      <c r="F128" s="232" t="s">
        <v>930</v>
      </c>
      <c r="G128" s="60" t="s">
        <v>290</v>
      </c>
      <c r="H128" s="1861" t="s">
        <v>931</v>
      </c>
      <c r="I128" s="1862"/>
      <c r="J128" s="30"/>
      <c r="K128" s="30"/>
      <c r="L128" s="4"/>
      <c r="M128" s="4"/>
      <c r="N128" s="4"/>
    </row>
    <row r="129" spans="1:14" s="12" customFormat="1" ht="15" customHeight="1">
      <c r="A129" s="25"/>
      <c r="B129" s="593" t="s">
        <v>291</v>
      </c>
      <c r="C129" s="594" t="s">
        <v>932</v>
      </c>
      <c r="D129" s="939">
        <f>'Adjust Inventory Year'!C84</f>
        <v>4.1399999999999997E-7</v>
      </c>
      <c r="E129" s="941">
        <f>'Adjust Inventory Year'!D84</f>
        <v>1.021E-2</v>
      </c>
      <c r="F129" s="939">
        <f>'Adjust Inventory Year'!E84</f>
        <v>8.28E-8</v>
      </c>
      <c r="G129" s="594" t="s">
        <v>933</v>
      </c>
      <c r="H129" s="1866" t="s">
        <v>213</v>
      </c>
      <c r="I129" s="1863" t="s">
        <v>288</v>
      </c>
      <c r="J129" s="30"/>
      <c r="K129" s="30"/>
      <c r="L129" s="4"/>
      <c r="M129" s="4"/>
      <c r="N129" s="4"/>
    </row>
    <row r="130" spans="1:14" s="12" customFormat="1" ht="15" customHeight="1">
      <c r="A130" s="25"/>
      <c r="B130" s="595" t="s">
        <v>293</v>
      </c>
      <c r="C130" s="596" t="s">
        <v>932</v>
      </c>
      <c r="D130" s="940">
        <f>'Adjust Inventory Year'!C85</f>
        <v>3.7500000000000001E-7</v>
      </c>
      <c r="E130" s="942">
        <f>'Adjust Inventory Year'!D85</f>
        <v>8.7799999999999996E-3</v>
      </c>
      <c r="F130" s="940">
        <f>'Adjust Inventory Year'!E85</f>
        <v>7.4999999999999997E-8</v>
      </c>
      <c r="G130" s="596" t="s">
        <v>933</v>
      </c>
      <c r="H130" s="1867"/>
      <c r="I130" s="1864"/>
      <c r="J130" s="30"/>
      <c r="K130" s="30"/>
      <c r="L130" s="4"/>
      <c r="M130" s="4"/>
      <c r="N130" s="4"/>
    </row>
    <row r="131" spans="1:14" s="12" customFormat="1" ht="15" customHeight="1">
      <c r="A131" s="25"/>
      <c r="B131" s="595" t="s">
        <v>294</v>
      </c>
      <c r="C131" s="596" t="s">
        <v>934</v>
      </c>
      <c r="D131" s="813"/>
      <c r="E131" s="812">
        <f>E132/D146</f>
        <v>5.3372549019607841E-2</v>
      </c>
      <c r="F131" s="813"/>
      <c r="G131" s="596" t="s">
        <v>217</v>
      </c>
      <c r="H131" s="1867"/>
      <c r="I131" s="1864"/>
      <c r="J131" s="30"/>
      <c r="K131" s="30"/>
      <c r="L131" s="4"/>
      <c r="M131" s="4"/>
      <c r="N131" s="4"/>
    </row>
    <row r="132" spans="1:14" s="12" customFormat="1" ht="15" customHeight="1" thickBot="1">
      <c r="A132" s="25"/>
      <c r="B132" s="597" t="s">
        <v>294</v>
      </c>
      <c r="C132" s="598" t="s">
        <v>935</v>
      </c>
      <c r="D132" s="814"/>
      <c r="E132" s="943">
        <f>'Adjust Inventory Year'!D86*D138</f>
        <v>5.4440000000000001E-5</v>
      </c>
      <c r="F132" s="814"/>
      <c r="G132" s="598" t="s">
        <v>936</v>
      </c>
      <c r="H132" s="1868"/>
      <c r="I132" s="1865"/>
      <c r="J132" s="30"/>
      <c r="K132" s="30"/>
      <c r="L132" s="4"/>
      <c r="M132" s="4"/>
      <c r="N132" s="4"/>
    </row>
    <row r="133" spans="1:14" s="12" customFormat="1" ht="15" customHeight="1" thickBot="1">
      <c r="A133" s="25"/>
      <c r="B133" s="30"/>
      <c r="C133" s="30"/>
      <c r="D133" s="30"/>
      <c r="E133" s="30"/>
      <c r="F133" s="30"/>
      <c r="G133" s="30"/>
      <c r="H133" s="30"/>
      <c r="I133" s="4"/>
      <c r="J133" s="4"/>
      <c r="K133" s="4"/>
    </row>
    <row r="134" spans="1:14" s="12" customFormat="1" ht="15" customHeight="1" thickBot="1">
      <c r="A134" s="25"/>
      <c r="B134" s="1890" t="s">
        <v>937</v>
      </c>
      <c r="C134" s="1891"/>
      <c r="D134" s="1891"/>
      <c r="E134" s="1892"/>
      <c r="F134" s="553"/>
      <c r="G134" s="30"/>
      <c r="H134" s="30"/>
      <c r="I134" s="30"/>
      <c r="J134" s="4"/>
      <c r="K134" s="4"/>
      <c r="L134" s="4"/>
    </row>
    <row r="135" spans="1:14" s="12" customFormat="1" ht="15" customHeight="1">
      <c r="A135" s="25"/>
      <c r="B135" s="46" t="s">
        <v>938</v>
      </c>
      <c r="C135" s="47" t="s">
        <v>939</v>
      </c>
      <c r="D135" s="47" t="s">
        <v>940</v>
      </c>
      <c r="E135" s="48" t="s">
        <v>407</v>
      </c>
      <c r="F135" s="30"/>
      <c r="G135" s="30"/>
      <c r="H135" s="30"/>
      <c r="I135" s="30"/>
      <c r="J135" s="4"/>
      <c r="K135" s="4"/>
      <c r="L135" s="4"/>
    </row>
    <row r="136" spans="1:14" s="12" customFormat="1" ht="15" customHeight="1">
      <c r="A136" s="25"/>
      <c r="B136" s="599" t="s">
        <v>941</v>
      </c>
      <c r="C136" s="600" t="s">
        <v>934</v>
      </c>
      <c r="D136" s="600">
        <v>0.13800000000000001</v>
      </c>
      <c r="E136" s="1571" t="s">
        <v>213</v>
      </c>
      <c r="F136" s="30"/>
      <c r="G136" s="30"/>
      <c r="H136" s="30"/>
      <c r="I136" s="30"/>
      <c r="J136" s="4"/>
      <c r="K136" s="4"/>
      <c r="L136" s="4"/>
    </row>
    <row r="137" spans="1:14" s="12" customFormat="1" ht="15" customHeight="1">
      <c r="A137" s="25"/>
      <c r="B137" s="601" t="s">
        <v>942</v>
      </c>
      <c r="C137" s="602" t="s">
        <v>943</v>
      </c>
      <c r="D137" s="596">
        <v>9.9999999999999995E-7</v>
      </c>
      <c r="E137" s="603" t="s">
        <v>857</v>
      </c>
      <c r="F137" s="30"/>
      <c r="G137" s="30"/>
      <c r="H137" s="30"/>
      <c r="I137" s="30"/>
      <c r="J137" s="4"/>
      <c r="K137" s="4"/>
      <c r="L137" s="4"/>
    </row>
    <row r="138" spans="1:14" s="12" customFormat="1" ht="15" customHeight="1">
      <c r="A138" s="25"/>
      <c r="B138" s="595" t="s">
        <v>944</v>
      </c>
      <c r="C138" s="596" t="s">
        <v>943</v>
      </c>
      <c r="D138" s="596">
        <v>1E-3</v>
      </c>
      <c r="E138" s="603" t="s">
        <v>857</v>
      </c>
      <c r="F138" s="30"/>
      <c r="G138" s="30"/>
      <c r="H138" s="30"/>
      <c r="I138" s="30"/>
      <c r="J138" s="4"/>
      <c r="K138" s="4"/>
      <c r="L138" s="4"/>
    </row>
    <row r="139" spans="1:14" s="12" customFormat="1" ht="15" customHeight="1">
      <c r="A139" s="25"/>
      <c r="B139" s="604" t="s">
        <v>945</v>
      </c>
      <c r="C139" s="605" t="s">
        <v>934</v>
      </c>
      <c r="D139" s="944">
        <v>3.4121399999999997E-3</v>
      </c>
      <c r="E139" s="603" t="s">
        <v>857</v>
      </c>
      <c r="F139" s="30"/>
      <c r="G139" s="30"/>
      <c r="I139" s="30"/>
      <c r="J139" s="4"/>
      <c r="K139" s="4"/>
      <c r="L139" s="4"/>
    </row>
    <row r="140" spans="1:14" s="12" customFormat="1">
      <c r="A140" s="25"/>
      <c r="B140" s="606" t="s">
        <v>946</v>
      </c>
      <c r="C140" s="607" t="s">
        <v>947</v>
      </c>
      <c r="D140" s="124">
        <v>1000</v>
      </c>
      <c r="E140" s="603" t="s">
        <v>857</v>
      </c>
      <c r="F140" s="30"/>
      <c r="G140" s="30"/>
      <c r="H140" s="30"/>
      <c r="I140" s="30"/>
      <c r="J140" s="4"/>
      <c r="K140" s="4"/>
      <c r="L140" s="4"/>
    </row>
    <row r="141" spans="1:14" s="12" customFormat="1">
      <c r="A141" s="25"/>
      <c r="B141" s="606" t="s">
        <v>948</v>
      </c>
      <c r="C141" s="607" t="s">
        <v>943</v>
      </c>
      <c r="D141" s="124">
        <v>1000000</v>
      </c>
      <c r="E141" s="603" t="s">
        <v>857</v>
      </c>
      <c r="F141" s="30"/>
      <c r="G141" s="30"/>
      <c r="H141" s="30"/>
      <c r="I141" s="30"/>
      <c r="J141" s="4"/>
      <c r="K141" s="4"/>
      <c r="L141" s="4"/>
    </row>
    <row r="142" spans="1:14" s="12" customFormat="1">
      <c r="A142" s="25"/>
      <c r="B142" s="606" t="s">
        <v>949</v>
      </c>
      <c r="C142" s="607" t="s">
        <v>943</v>
      </c>
      <c r="D142" s="945">
        <v>4.53592E-4</v>
      </c>
      <c r="E142" s="603" t="s">
        <v>857</v>
      </c>
      <c r="F142" s="30"/>
      <c r="G142" s="30"/>
      <c r="H142" s="30"/>
      <c r="I142" s="30"/>
      <c r="J142" s="4"/>
      <c r="K142" s="4"/>
      <c r="L142" s="4"/>
    </row>
    <row r="143" spans="1:14" s="12" customFormat="1">
      <c r="A143" s="25"/>
      <c r="B143" s="604" t="s">
        <v>950</v>
      </c>
      <c r="C143" s="605" t="s">
        <v>951</v>
      </c>
      <c r="D143" s="946">
        <v>0.90718500000000002</v>
      </c>
      <c r="E143" s="603" t="s">
        <v>857</v>
      </c>
      <c r="F143" s="30"/>
      <c r="G143" s="30"/>
      <c r="H143" s="30"/>
      <c r="I143" s="30"/>
      <c r="J143" s="4"/>
      <c r="K143" s="4"/>
      <c r="L143" s="4"/>
    </row>
    <row r="144" spans="1:14" s="12" customFormat="1">
      <c r="A144" s="25"/>
      <c r="B144" s="604" t="s">
        <v>950</v>
      </c>
      <c r="C144" s="605" t="s">
        <v>944</v>
      </c>
      <c r="D144" s="863">
        <v>907.18499999999995</v>
      </c>
      <c r="E144" s="603" t="s">
        <v>857</v>
      </c>
      <c r="F144" s="30"/>
      <c r="G144" s="30"/>
      <c r="H144" s="30"/>
      <c r="I144" s="30"/>
      <c r="J144" s="4"/>
      <c r="K144" s="4"/>
      <c r="L144" s="4"/>
    </row>
    <row r="145" spans="1:12" s="12" customFormat="1">
      <c r="A145" s="25"/>
      <c r="B145" s="604" t="s">
        <v>950</v>
      </c>
      <c r="C145" s="605" t="s">
        <v>952</v>
      </c>
      <c r="D145" s="946">
        <v>9.0718500000000002E-4</v>
      </c>
      <c r="E145" s="603" t="s">
        <v>857</v>
      </c>
      <c r="F145" s="30"/>
      <c r="G145" s="30"/>
      <c r="H145" s="30"/>
      <c r="I145" s="30"/>
      <c r="J145" s="4"/>
      <c r="K145" s="4"/>
      <c r="L145" s="4"/>
    </row>
    <row r="146" spans="1:12" s="12" customFormat="1" ht="15" customHeight="1">
      <c r="A146" s="25"/>
      <c r="B146" s="601" t="s">
        <v>953</v>
      </c>
      <c r="C146" s="602" t="s">
        <v>954</v>
      </c>
      <c r="D146" s="596">
        <v>1.0200000000000001E-3</v>
      </c>
      <c r="E146" s="603" t="s">
        <v>857</v>
      </c>
      <c r="F146" s="30"/>
      <c r="G146" s="30"/>
      <c r="H146" s="30"/>
      <c r="I146" s="30"/>
      <c r="J146" s="4"/>
      <c r="K146" s="4"/>
      <c r="L146" s="4"/>
    </row>
    <row r="147" spans="1:12" s="12" customFormat="1" ht="15" customHeight="1">
      <c r="A147" s="25"/>
      <c r="B147" s="1231" t="s">
        <v>955</v>
      </c>
      <c r="C147" s="1232" t="s">
        <v>954</v>
      </c>
      <c r="D147" s="1233">
        <v>9.9976099999999998E-2</v>
      </c>
      <c r="E147" s="1234" t="s">
        <v>857</v>
      </c>
      <c r="F147" s="30"/>
      <c r="G147" s="30"/>
      <c r="H147" s="30"/>
      <c r="I147" s="30"/>
      <c r="J147" s="4"/>
      <c r="K147" s="4"/>
      <c r="L147" s="4"/>
    </row>
    <row r="148" spans="1:12" s="12" customFormat="1" ht="15" customHeight="1" thickBot="1">
      <c r="A148" s="25"/>
      <c r="B148" s="608" t="s">
        <v>949</v>
      </c>
      <c r="C148" s="609" t="s">
        <v>956</v>
      </c>
      <c r="D148" s="1230">
        <v>0.453592</v>
      </c>
      <c r="E148" s="610" t="s">
        <v>857</v>
      </c>
      <c r="F148" s="30"/>
      <c r="G148" s="30"/>
      <c r="H148" s="30"/>
      <c r="I148" s="30"/>
      <c r="J148" s="4"/>
      <c r="K148" s="4"/>
      <c r="L148" s="4"/>
    </row>
    <row r="149" spans="1:12" s="12" customFormat="1" ht="15" customHeight="1">
      <c r="A149" s="25"/>
      <c r="F149" s="30"/>
      <c r="G149" s="30"/>
      <c r="H149" s="30"/>
      <c r="I149" s="30"/>
      <c r="J149" s="4"/>
      <c r="K149" s="4"/>
      <c r="L149" s="4"/>
    </row>
    <row r="150" spans="1:12" s="12" customFormat="1"/>
    <row r="151" spans="1:12" s="12" customFormat="1"/>
    <row r="152" spans="1:12" s="12" customFormat="1">
      <c r="C152" s="984"/>
    </row>
    <row r="153" spans="1:12" s="12" customFormat="1">
      <c r="C153" s="984"/>
    </row>
    <row r="154" spans="1:12" s="12" customFormat="1"/>
    <row r="155" spans="1:12" s="12" customFormat="1"/>
    <row r="156" spans="1:12" s="12" customFormat="1" ht="19.5" customHeight="1">
      <c r="J156" s="404"/>
    </row>
    <row r="157" spans="1:12" s="12" customFormat="1" ht="67.5" customHeight="1"/>
    <row r="158" spans="1:12" s="12" customFormat="1"/>
    <row r="159" spans="1:12" s="12" customFormat="1"/>
    <row r="160" spans="1:12" s="12" customFormat="1"/>
    <row r="161" spans="5:9" s="12" customFormat="1"/>
    <row r="162" spans="5:9" s="12" customFormat="1"/>
    <row r="163" spans="5:9" s="12" customFormat="1"/>
    <row r="164" spans="5:9" s="12" customFormat="1"/>
    <row r="165" spans="5:9">
      <c r="E165" s="3"/>
      <c r="F165" s="3"/>
      <c r="G165" s="3"/>
      <c r="H165" s="3"/>
      <c r="I165" s="3"/>
    </row>
    <row r="166" spans="5:9">
      <c r="E166" s="3"/>
      <c r="F166" s="3"/>
      <c r="G166" s="3"/>
      <c r="H166" s="3"/>
      <c r="I166" s="3"/>
    </row>
    <row r="167" spans="5:9">
      <c r="E167" s="3"/>
      <c r="F167" s="3"/>
      <c r="G167" s="3"/>
      <c r="H167" s="3"/>
      <c r="I167" s="3"/>
    </row>
    <row r="168" spans="5:9">
      <c r="E168" s="3"/>
      <c r="F168" s="3"/>
      <c r="G168" s="3"/>
      <c r="H168" s="3"/>
      <c r="I168" s="3"/>
    </row>
    <row r="169" spans="5:9">
      <c r="E169" s="3"/>
      <c r="F169" s="3"/>
      <c r="G169" s="3"/>
      <c r="H169" s="3"/>
      <c r="I169" s="3"/>
    </row>
    <row r="170" spans="5:9">
      <c r="E170" s="3"/>
      <c r="F170" s="3"/>
      <c r="G170" s="3"/>
      <c r="H170" s="3"/>
      <c r="I170" s="3"/>
    </row>
    <row r="171" spans="5:9" ht="46.5" customHeight="1">
      <c r="E171" s="3"/>
      <c r="F171" s="3"/>
      <c r="G171" s="3"/>
      <c r="H171" s="3"/>
      <c r="I171" s="3"/>
    </row>
    <row r="172" spans="5:9">
      <c r="E172" s="3"/>
      <c r="F172" s="3"/>
      <c r="G172" s="3"/>
      <c r="H172" s="3"/>
      <c r="I172" s="3"/>
    </row>
    <row r="173" spans="5:9">
      <c r="E173" s="3"/>
      <c r="F173" s="3"/>
      <c r="G173" s="3"/>
      <c r="H173" s="3"/>
      <c r="I173" s="3"/>
    </row>
    <row r="174" spans="5:9">
      <c r="E174" s="3"/>
      <c r="F174" s="3"/>
      <c r="G174" s="3"/>
      <c r="H174" s="3"/>
      <c r="I174" s="3"/>
    </row>
    <row r="175" spans="5:9">
      <c r="E175" s="3"/>
      <c r="F175" s="3"/>
      <c r="G175" s="3"/>
      <c r="H175" s="3"/>
      <c r="I175" s="3"/>
    </row>
    <row r="176" spans="5:9">
      <c r="E176" s="3"/>
      <c r="F176" s="3"/>
      <c r="G176" s="3"/>
      <c r="H176" s="3"/>
      <c r="I176" s="3"/>
    </row>
    <row r="177" spans="5:9">
      <c r="E177" s="3"/>
      <c r="F177" s="3"/>
      <c r="G177" s="3"/>
      <c r="H177" s="3"/>
      <c r="I177" s="3"/>
    </row>
    <row r="178" spans="5:9">
      <c r="E178" s="3"/>
      <c r="F178" s="3"/>
      <c r="G178" s="3"/>
      <c r="H178" s="3"/>
      <c r="I178" s="3"/>
    </row>
    <row r="179" spans="5:9">
      <c r="E179" s="3"/>
      <c r="F179" s="3"/>
      <c r="G179" s="3"/>
      <c r="H179" s="3"/>
      <c r="I179" s="3"/>
    </row>
    <row r="180" spans="5:9">
      <c r="E180" s="3"/>
      <c r="F180" s="3"/>
      <c r="G180" s="3"/>
      <c r="H180" s="3"/>
      <c r="I180" s="3"/>
    </row>
    <row r="181" spans="5:9">
      <c r="E181" s="3"/>
      <c r="F181" s="3"/>
      <c r="G181" s="3"/>
      <c r="H181" s="3"/>
      <c r="I181" s="3"/>
    </row>
    <row r="182" spans="5:9">
      <c r="E182" s="3"/>
      <c r="F182" s="3"/>
      <c r="G182" s="3"/>
      <c r="H182" s="3"/>
      <c r="I182" s="3"/>
    </row>
    <row r="183" spans="5:9">
      <c r="E183" s="3"/>
      <c r="F183" s="3"/>
      <c r="G183" s="3"/>
      <c r="H183" s="3"/>
      <c r="I183" s="3"/>
    </row>
    <row r="184" spans="5:9">
      <c r="E184" s="3"/>
      <c r="F184" s="3"/>
      <c r="G184" s="3"/>
      <c r="H184" s="3"/>
      <c r="I184" s="3"/>
    </row>
    <row r="185" spans="5:9">
      <c r="E185" s="3"/>
      <c r="F185" s="3"/>
      <c r="G185" s="3"/>
      <c r="H185" s="3"/>
      <c r="I185" s="3"/>
    </row>
    <row r="186" spans="5:9">
      <c r="E186" s="3"/>
      <c r="F186" s="3"/>
      <c r="G186" s="3"/>
      <c r="H186" s="3"/>
      <c r="I186" s="3"/>
    </row>
    <row r="187" spans="5:9">
      <c r="E187" s="3"/>
      <c r="F187" s="3"/>
      <c r="G187" s="3"/>
      <c r="H187" s="3"/>
      <c r="I187" s="3"/>
    </row>
    <row r="188" spans="5:9">
      <c r="E188" s="3"/>
      <c r="F188" s="3"/>
      <c r="G188" s="3"/>
      <c r="H188" s="3"/>
      <c r="I188" s="3"/>
    </row>
    <row r="189" spans="5:9">
      <c r="E189" s="3"/>
      <c r="F189" s="3"/>
      <c r="G189" s="3"/>
      <c r="H189" s="3"/>
      <c r="I189" s="3"/>
    </row>
    <row r="190" spans="5:9">
      <c r="E190" s="3"/>
      <c r="F190" s="3"/>
      <c r="G190" s="3"/>
      <c r="H190" s="3"/>
      <c r="I190" s="3"/>
    </row>
    <row r="191" spans="5:9">
      <c r="E191" s="3"/>
      <c r="F191" s="3"/>
      <c r="G191" s="3"/>
      <c r="H191" s="3"/>
      <c r="I191" s="3"/>
    </row>
    <row r="192" spans="5:9">
      <c r="E192" s="3"/>
      <c r="F192" s="3"/>
      <c r="G192" s="3"/>
      <c r="H192" s="3"/>
      <c r="I192" s="3"/>
    </row>
    <row r="193" spans="5:9">
      <c r="E193" s="3"/>
      <c r="F193" s="3"/>
      <c r="G193" s="3"/>
      <c r="H193" s="3"/>
      <c r="I193" s="3"/>
    </row>
    <row r="194" spans="5:9">
      <c r="E194" s="3"/>
      <c r="F194" s="3"/>
      <c r="G194" s="3"/>
      <c r="H194" s="3"/>
      <c r="I194" s="3"/>
    </row>
    <row r="195" spans="5:9">
      <c r="E195" s="3"/>
      <c r="F195" s="3"/>
      <c r="G195" s="3"/>
      <c r="H195" s="3"/>
      <c r="I195" s="3"/>
    </row>
    <row r="196" spans="5:9">
      <c r="E196" s="3"/>
      <c r="F196" s="3"/>
      <c r="G196" s="3"/>
      <c r="H196" s="3"/>
      <c r="I196" s="3"/>
    </row>
    <row r="197" spans="5:9">
      <c r="E197" s="3"/>
      <c r="F197" s="3"/>
      <c r="G197" s="3"/>
      <c r="H197" s="3"/>
      <c r="I197" s="3"/>
    </row>
    <row r="198" spans="5:9">
      <c r="E198" s="3"/>
      <c r="F198" s="3"/>
      <c r="G198" s="3"/>
      <c r="H198" s="3"/>
      <c r="I198" s="3"/>
    </row>
    <row r="199" spans="5:9">
      <c r="E199" s="3"/>
      <c r="F199" s="3"/>
      <c r="G199" s="3"/>
      <c r="H199" s="3"/>
      <c r="I199" s="3"/>
    </row>
    <row r="200" spans="5:9">
      <c r="E200" s="3"/>
      <c r="F200" s="3"/>
      <c r="G200" s="3"/>
      <c r="H200" s="3"/>
      <c r="I200" s="3"/>
    </row>
    <row r="201" spans="5:9">
      <c r="E201" s="3"/>
      <c r="F201" s="3"/>
      <c r="G201" s="3"/>
      <c r="H201" s="3"/>
      <c r="I201" s="3"/>
    </row>
    <row r="202" spans="5:9">
      <c r="E202" s="3"/>
      <c r="F202" s="3"/>
      <c r="G202" s="3"/>
      <c r="H202" s="3"/>
      <c r="I202" s="3"/>
    </row>
    <row r="203" spans="5:9">
      <c r="E203" s="3"/>
      <c r="F203" s="3"/>
      <c r="G203" s="3"/>
      <c r="H203" s="3"/>
      <c r="I203" s="3"/>
    </row>
    <row r="204" spans="5:9">
      <c r="E204" s="3"/>
      <c r="F204" s="3"/>
      <c r="G204" s="3"/>
      <c r="H204" s="3"/>
      <c r="I204" s="3"/>
    </row>
    <row r="205" spans="5:9">
      <c r="E205" s="3"/>
      <c r="F205" s="3"/>
      <c r="G205" s="3"/>
      <c r="H205" s="3"/>
      <c r="I205" s="3"/>
    </row>
    <row r="206" spans="5:9">
      <c r="E206" s="3"/>
      <c r="F206" s="3"/>
      <c r="G206" s="3"/>
      <c r="H206" s="3"/>
      <c r="I206" s="3"/>
    </row>
    <row r="207" spans="5:9">
      <c r="E207" s="3"/>
      <c r="F207" s="3"/>
      <c r="G207" s="3"/>
      <c r="H207" s="3"/>
      <c r="I207" s="3"/>
    </row>
    <row r="208" spans="5:9">
      <c r="E208" s="3"/>
      <c r="F208" s="3"/>
      <c r="G208" s="3"/>
      <c r="H208" s="3"/>
      <c r="I208" s="3"/>
    </row>
    <row r="209" spans="5:9">
      <c r="E209" s="3"/>
      <c r="F209" s="3"/>
      <c r="G209" s="3"/>
      <c r="H209" s="3"/>
      <c r="I209" s="3"/>
    </row>
    <row r="210" spans="5:9">
      <c r="E210" s="3"/>
      <c r="F210" s="3"/>
      <c r="G210" s="3"/>
      <c r="H210" s="3"/>
      <c r="I210" s="3"/>
    </row>
    <row r="211" spans="5:9">
      <c r="E211" s="3"/>
      <c r="F211" s="3"/>
      <c r="G211" s="3"/>
      <c r="H211" s="3"/>
      <c r="I211" s="3"/>
    </row>
    <row r="212" spans="5:9">
      <c r="E212" s="3"/>
      <c r="F212" s="3"/>
      <c r="G212" s="3"/>
      <c r="H212" s="3"/>
      <c r="I212" s="3"/>
    </row>
    <row r="213" spans="5:9">
      <c r="E213" s="3"/>
      <c r="F213" s="3"/>
      <c r="G213" s="3"/>
      <c r="H213" s="3"/>
      <c r="I213" s="3"/>
    </row>
    <row r="214" spans="5:9">
      <c r="E214" s="3"/>
      <c r="F214" s="3"/>
      <c r="G214" s="3"/>
      <c r="H214" s="3"/>
      <c r="I214" s="3"/>
    </row>
    <row r="215" spans="5:9">
      <c r="E215" s="3"/>
      <c r="F215" s="3"/>
      <c r="G215" s="3"/>
      <c r="H215" s="3"/>
      <c r="I215" s="3"/>
    </row>
    <row r="216" spans="5:9" ht="26.25" customHeight="1">
      <c r="E216" s="3"/>
      <c r="F216" s="3"/>
      <c r="G216" s="3"/>
      <c r="H216" s="3"/>
      <c r="I216" s="3"/>
    </row>
    <row r="217" spans="5:9" ht="26.25" customHeight="1">
      <c r="E217" s="3"/>
      <c r="F217" s="3"/>
      <c r="G217" s="3"/>
      <c r="H217" s="3"/>
      <c r="I217" s="3"/>
    </row>
  </sheetData>
  <mergeCells count="39">
    <mergeCell ref="B65:K65"/>
    <mergeCell ref="B54:P54"/>
    <mergeCell ref="B2:D2"/>
    <mergeCell ref="B3:H3"/>
    <mergeCell ref="B5:E5"/>
    <mergeCell ref="B6:E6"/>
    <mergeCell ref="B8:G8"/>
    <mergeCell ref="B134:E134"/>
    <mergeCell ref="B60:K60"/>
    <mergeCell ref="B61:K61"/>
    <mergeCell ref="B44:E44"/>
    <mergeCell ref="B52:C52"/>
    <mergeCell ref="B63:E63"/>
    <mergeCell ref="B68:E68"/>
    <mergeCell ref="B71:C71"/>
    <mergeCell ref="B46:C46"/>
    <mergeCell ref="B69:E69"/>
    <mergeCell ref="B115:C115"/>
    <mergeCell ref="B126:C126"/>
    <mergeCell ref="B123:D123"/>
    <mergeCell ref="B62:E62"/>
    <mergeCell ref="B121:E121"/>
    <mergeCell ref="B117:I117"/>
    <mergeCell ref="B127:I127"/>
    <mergeCell ref="H128:I128"/>
    <mergeCell ref="I129:I132"/>
    <mergeCell ref="H129:H132"/>
    <mergeCell ref="B13:E13"/>
    <mergeCell ref="B15:D15"/>
    <mergeCell ref="B28:E28"/>
    <mergeCell ref="B29:C29"/>
    <mergeCell ref="B30:C30"/>
    <mergeCell ref="B41:I41"/>
    <mergeCell ref="B31:C31"/>
    <mergeCell ref="B32:C32"/>
    <mergeCell ref="B33:C33"/>
    <mergeCell ref="B36:K36"/>
    <mergeCell ref="B34:E34"/>
    <mergeCell ref="B39:E39"/>
  </mergeCells>
  <hyperlinks>
    <hyperlink ref="D21" r:id="rId1" display="Natural Gas and Petroleum Systems in the GHG Inventory" xr:uid="{00000000-0004-0000-0700-000007000000}"/>
    <hyperlink ref="G10" r:id="rId2" display="TCR" xr:uid="{00000000-0004-0000-0700-000008000000}"/>
    <hyperlink ref="F34" r:id="rId3" xr:uid="{00000000-0004-0000-0700-00000A000000}"/>
    <hyperlink ref="F63" r:id="rId4" display="MA RFP Information" xr:uid="{00000000-0004-0000-0700-00000C000000}"/>
    <hyperlink ref="D18" r:id="rId5" xr:uid="{00000000-0004-0000-0700-00000F000000}"/>
    <hyperlink ref="G12" r:id="rId6" xr:uid="{00000000-0004-0000-0700-000004000000}"/>
    <hyperlink ref="D52" r:id="rId7" xr:uid="{BDCDBCD6-63FE-486E-9CB6-0D470E1F57B4}"/>
    <hyperlink ref="D22" r:id="rId8" display="Natural Gas and Petroleum Systems in the GHG Inventory" xr:uid="{B98B65F2-FE74-44B2-8E6D-75CD501EC58F}"/>
    <hyperlink ref="F62" r:id="rId9" xr:uid="{98FBD772-788D-474D-9B0D-C56B93A0AAB0}"/>
    <hyperlink ref="F68" r:id="rId10" xr:uid="{AA92660C-1927-401A-BBCC-9C7C9AD2642B}"/>
    <hyperlink ref="D115" r:id="rId11" xr:uid="{9473E48E-B699-4FEF-BFEF-1C343D3E8699}"/>
    <hyperlink ref="H129" r:id="rId12" xr:uid="{7E097031-B565-40C1-9893-236381D29D8A}"/>
    <hyperlink ref="I129" r:id="rId13" xr:uid="{A53AD8DA-F9B3-4072-9E97-EDEDE4062450}"/>
    <hyperlink ref="E136" r:id="rId14" xr:uid="{4F874662-EE99-4C91-B715-EA1741912FCA}"/>
    <hyperlink ref="D125" r:id="rId15" display="IPCC Sixth Assessment GWP Values" xr:uid="{AF4E6445-A5CE-4DD9-B0EF-1931EA36BF45}"/>
  </hyperlinks>
  <pageMargins left="0.7" right="0.7" top="0.75" bottom="0.75" header="0.3" footer="0.3"/>
  <pageSetup orientation="portrait" r:id="rId16"/>
  <drawing r:id="rId1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499984740745262"/>
  </sheetPr>
  <dimension ref="B1:Z53"/>
  <sheetViews>
    <sheetView showGridLines="0" zoomScale="85" zoomScaleNormal="85" workbookViewId="0"/>
  </sheetViews>
  <sheetFormatPr defaultColWidth="9.140625" defaultRowHeight="13.15"/>
  <cols>
    <col min="1" max="1" width="5.42578125" style="4" customWidth="1"/>
    <col min="2" max="2" width="17.28515625" style="4" customWidth="1"/>
    <col min="3" max="3" width="24.7109375" style="4" customWidth="1"/>
    <col min="4" max="23" width="13.5703125" style="4" customWidth="1"/>
    <col min="24" max="16384" width="9.140625" style="4"/>
  </cols>
  <sheetData>
    <row r="1" spans="2:23" ht="13.9" thickBot="1"/>
    <row r="2" spans="2:23" ht="23.45" thickBot="1">
      <c r="B2" s="1915" t="s">
        <v>957</v>
      </c>
      <c r="C2" s="1938"/>
      <c r="D2" s="1938"/>
      <c r="E2" s="1938"/>
      <c r="F2" s="1938"/>
      <c r="G2" s="1939"/>
      <c r="I2" s="198"/>
    </row>
    <row r="3" spans="2:23" ht="13.5" customHeight="1">
      <c r="B3" s="199" t="s">
        <v>373</v>
      </c>
      <c r="C3" s="1940" t="s">
        <v>384</v>
      </c>
      <c r="D3" s="1941"/>
      <c r="E3" s="1941"/>
      <c r="F3" s="1941"/>
      <c r="G3" s="1942"/>
      <c r="H3" s="66"/>
    </row>
    <row r="4" spans="2:23" ht="13.5" customHeight="1" thickBot="1">
      <c r="B4" s="136" t="s">
        <v>375</v>
      </c>
      <c r="C4" s="1943" t="s">
        <v>958</v>
      </c>
      <c r="D4" s="1930"/>
      <c r="E4" s="1930"/>
      <c r="F4" s="1930"/>
      <c r="G4" s="1931"/>
      <c r="H4" s="66"/>
    </row>
    <row r="5" spans="2:23" ht="13.5" customHeight="1" thickBot="1">
      <c r="B5" s="1456"/>
      <c r="C5" s="1456"/>
      <c r="D5" s="1456"/>
      <c r="E5" s="1456"/>
      <c r="F5" s="66"/>
      <c r="G5" s="66"/>
      <c r="H5" s="66"/>
    </row>
    <row r="6" spans="2:23" ht="16.5" customHeight="1" thickBot="1">
      <c r="B6" s="1932" t="s">
        <v>377</v>
      </c>
      <c r="C6" s="1933"/>
      <c r="D6" s="1933"/>
      <c r="E6" s="1933"/>
      <c r="F6" s="1933"/>
      <c r="G6" s="1933"/>
      <c r="H6" s="1933"/>
      <c r="I6" s="1933"/>
      <c r="J6" s="1933"/>
      <c r="K6" s="1933"/>
      <c r="L6" s="1934"/>
    </row>
    <row r="7" spans="2:23" ht="45" customHeight="1" thickBot="1">
      <c r="B7" s="1807" t="s">
        <v>959</v>
      </c>
      <c r="C7" s="1930"/>
      <c r="D7" s="1930"/>
      <c r="E7" s="1930"/>
      <c r="F7" s="1930"/>
      <c r="G7" s="1930"/>
      <c r="H7" s="1930"/>
      <c r="I7" s="1930"/>
      <c r="J7" s="1930"/>
      <c r="K7" s="1930"/>
      <c r="L7" s="1931"/>
    </row>
    <row r="8" spans="2:23" ht="13.9" thickBot="1"/>
    <row r="9" spans="2:23" ht="17.25" customHeight="1" thickBot="1">
      <c r="B9" s="1935" t="s">
        <v>960</v>
      </c>
      <c r="C9" s="1717"/>
      <c r="D9" s="1717"/>
      <c r="E9" s="1717"/>
      <c r="F9" s="1717"/>
      <c r="G9" s="1717"/>
      <c r="H9" s="1717"/>
      <c r="I9" s="1717"/>
      <c r="J9" s="1717"/>
      <c r="K9" s="1717"/>
      <c r="L9" s="1717"/>
      <c r="M9" s="1717"/>
      <c r="N9" s="1717"/>
      <c r="O9" s="1717"/>
      <c r="P9" s="1717"/>
      <c r="Q9" s="1717"/>
      <c r="R9" s="1717"/>
      <c r="S9" s="1717"/>
      <c r="T9" s="1717"/>
      <c r="U9" s="1717"/>
      <c r="V9" s="1717"/>
      <c r="W9" s="1670"/>
    </row>
    <row r="10" spans="2:23" ht="88.5" customHeight="1">
      <c r="B10" s="44" t="s">
        <v>396</v>
      </c>
      <c r="C10" s="705" t="s">
        <v>961</v>
      </c>
      <c r="D10" s="726" t="s">
        <v>962</v>
      </c>
      <c r="E10" s="234" t="s">
        <v>963</v>
      </c>
      <c r="F10" s="727" t="s">
        <v>964</v>
      </c>
      <c r="G10" s="716" t="s">
        <v>919</v>
      </c>
      <c r="H10" s="235" t="s">
        <v>965</v>
      </c>
      <c r="I10" s="235" t="s">
        <v>966</v>
      </c>
      <c r="J10" s="235" t="s">
        <v>967</v>
      </c>
      <c r="K10" s="235" t="s">
        <v>968</v>
      </c>
      <c r="L10" s="235" t="s">
        <v>969</v>
      </c>
      <c r="M10" s="235" t="s">
        <v>970</v>
      </c>
      <c r="N10" s="717" t="s">
        <v>971</v>
      </c>
      <c r="O10" s="710" t="s">
        <v>972</v>
      </c>
      <c r="P10" s="236" t="s">
        <v>973</v>
      </c>
      <c r="Q10" s="236" t="s">
        <v>974</v>
      </c>
      <c r="R10" s="691" t="s">
        <v>975</v>
      </c>
      <c r="S10" s="674" t="s">
        <v>976</v>
      </c>
      <c r="T10" s="663" t="s">
        <v>977</v>
      </c>
      <c r="U10" s="1178" t="s">
        <v>978</v>
      </c>
      <c r="V10" s="1179" t="s">
        <v>979</v>
      </c>
      <c r="W10" s="1467" t="s">
        <v>980</v>
      </c>
    </row>
    <row r="11" spans="2:23">
      <c r="B11" s="1936" t="s">
        <v>397</v>
      </c>
      <c r="C11" s="706" t="s">
        <v>981</v>
      </c>
      <c r="D11" s="718">
        <f>'Stationary Energy - Buildings'!E11</f>
        <v>0</v>
      </c>
      <c r="E11" s="655"/>
      <c r="F11" s="728">
        <f>'Stationary Energy - Buildings'!$I$11</f>
        <v>0</v>
      </c>
      <c r="G11" s="718">
        <f>'Stationary Energy - Buildings'!D11</f>
        <v>0</v>
      </c>
      <c r="H11" s="340">
        <f>'Stationary Energy - Buildings'!F11</f>
        <v>0</v>
      </c>
      <c r="I11" s="341">
        <f>'Stationary Energy - Buildings'!G11</f>
        <v>0</v>
      </c>
      <c r="J11" s="340">
        <f>'Stationary Energy - Buildings'!H11</f>
        <v>0</v>
      </c>
      <c r="K11" s="655"/>
      <c r="L11" s="655"/>
      <c r="M11" s="655"/>
      <c r="N11" s="692"/>
      <c r="O11" s="675"/>
      <c r="P11" s="655"/>
      <c r="Q11" s="655"/>
      <c r="R11" s="692"/>
      <c r="S11" s="675"/>
      <c r="T11" s="664"/>
      <c r="U11" s="684">
        <f>SUM(E11,H11,L11,P11,S11)</f>
        <v>0</v>
      </c>
      <c r="V11" s="341">
        <f>SUM(F11,I11,M11,Q11,T11)</f>
        <v>0</v>
      </c>
      <c r="W11" s="342">
        <f t="shared" ref="W11:W16" si="0">SUM(J11,N11,R11)</f>
        <v>0</v>
      </c>
    </row>
    <row r="12" spans="2:23">
      <c r="B12" s="1936"/>
      <c r="C12" s="707" t="s">
        <v>982</v>
      </c>
      <c r="D12" s="693"/>
      <c r="E12" s="654"/>
      <c r="F12" s="694"/>
      <c r="G12" s="695">
        <f>'Stationary Energy - Buildings'!D12</f>
        <v>0</v>
      </c>
      <c r="H12" s="257" t="e">
        <f>'Stationary Energy - Buildings'!F12</f>
        <v>#DIV/0!</v>
      </c>
      <c r="I12" s="260" t="e">
        <f>'Stationary Energy - Buildings'!G12</f>
        <v>#DIV/0!</v>
      </c>
      <c r="J12" s="257" t="e">
        <f>'Stationary Energy - Buildings'!H12</f>
        <v>#DIV/0!</v>
      </c>
      <c r="K12" s="654"/>
      <c r="L12" s="654"/>
      <c r="M12" s="654"/>
      <c r="N12" s="694"/>
      <c r="O12" s="676"/>
      <c r="P12" s="654"/>
      <c r="Q12" s="654"/>
      <c r="R12" s="694"/>
      <c r="S12" s="676"/>
      <c r="T12" s="665"/>
      <c r="U12" s="298" t="e">
        <f t="shared" ref="U12:U27" si="1">SUM(E12,H12,L12,P12,S12)</f>
        <v>#DIV/0!</v>
      </c>
      <c r="V12" s="260" t="e">
        <f>SUM(F12,I12,M12,Q12,T12)</f>
        <v>#DIV/0!</v>
      </c>
      <c r="W12" s="262" t="e">
        <f t="shared" si="0"/>
        <v>#DIV/0!</v>
      </c>
    </row>
    <row r="13" spans="2:23">
      <c r="B13" s="1936"/>
      <c r="C13" s="707" t="s">
        <v>983</v>
      </c>
      <c r="D13" s="695">
        <f>'Stationary Energy - Buildings'!E13</f>
        <v>0</v>
      </c>
      <c r="E13" s="654"/>
      <c r="F13" s="451">
        <f>'Stationary Energy - Buildings'!I13</f>
        <v>0</v>
      </c>
      <c r="G13" s="695">
        <f>'Stationary Energy - Buildings'!D13</f>
        <v>0</v>
      </c>
      <c r="H13" s="257">
        <f>'Stationary Energy - Buildings'!F13</f>
        <v>0</v>
      </c>
      <c r="I13" s="257">
        <f>'Stationary Energy - Buildings'!G13</f>
        <v>0</v>
      </c>
      <c r="J13" s="257">
        <f>'Stationary Energy - Buildings'!H13</f>
        <v>0</v>
      </c>
      <c r="K13" s="654"/>
      <c r="L13" s="654"/>
      <c r="M13" s="654"/>
      <c r="N13" s="694"/>
      <c r="O13" s="676"/>
      <c r="P13" s="654"/>
      <c r="Q13" s="654"/>
      <c r="R13" s="694"/>
      <c r="S13" s="676"/>
      <c r="T13" s="665"/>
      <c r="U13" s="298">
        <f>SUM(E13,H13,L13,P13,S13)</f>
        <v>0</v>
      </c>
      <c r="V13" s="260">
        <f>SUM(F13,I13,M13,Q13,T13)</f>
        <v>0</v>
      </c>
      <c r="W13" s="262">
        <f t="shared" si="0"/>
        <v>0</v>
      </c>
    </row>
    <row r="14" spans="2:23">
      <c r="B14" s="1936"/>
      <c r="C14" s="707" t="s">
        <v>984</v>
      </c>
      <c r="D14" s="695">
        <f>'Stationary Energy - Buildings'!E223</f>
        <v>0</v>
      </c>
      <c r="E14" s="260">
        <f>'Stationary Energy - Buildings'!F223</f>
        <v>0</v>
      </c>
      <c r="F14" s="262">
        <f>'Stationary Energy - Buildings'!G223</f>
        <v>0</v>
      </c>
      <c r="G14" s="693"/>
      <c r="H14" s="654"/>
      <c r="I14" s="654"/>
      <c r="J14" s="654"/>
      <c r="K14" s="260">
        <f>'Stationary Energy - Buildings'!E217</f>
        <v>0</v>
      </c>
      <c r="L14" s="257" t="e">
        <f>'Stationary Energy - Buildings'!F217</f>
        <v>#DIV/0!</v>
      </c>
      <c r="M14" s="260" t="e">
        <f>'Stationary Energy - Buildings'!G217</f>
        <v>#DIV/0!</v>
      </c>
      <c r="N14" s="262" t="e">
        <f>'Stationary Energy - Buildings'!H217</f>
        <v>#DIV/0!</v>
      </c>
      <c r="O14" s="676"/>
      <c r="P14" s="654"/>
      <c r="Q14" s="654"/>
      <c r="R14" s="694"/>
      <c r="S14" s="676"/>
      <c r="T14" s="665"/>
      <c r="U14" s="298" t="e">
        <f t="shared" si="1"/>
        <v>#DIV/0!</v>
      </c>
      <c r="V14" s="260" t="e">
        <f>SUM(F14,I14,M14,Q14,T14)</f>
        <v>#DIV/0!</v>
      </c>
      <c r="W14" s="262" t="e">
        <f t="shared" si="0"/>
        <v>#DIV/0!</v>
      </c>
    </row>
    <row r="15" spans="2:23">
      <c r="B15" s="1936"/>
      <c r="C15" s="707" t="s">
        <v>412</v>
      </c>
      <c r="D15" s="693"/>
      <c r="E15" s="654"/>
      <c r="F15" s="694"/>
      <c r="G15" s="693"/>
      <c r="H15" s="654"/>
      <c r="I15" s="654"/>
      <c r="J15" s="654"/>
      <c r="K15" s="654"/>
      <c r="L15" s="654"/>
      <c r="M15" s="654"/>
      <c r="N15" s="694"/>
      <c r="O15" s="711">
        <f>'Stationary Energy - Buildings'!C35</f>
        <v>0</v>
      </c>
      <c r="P15" s="257">
        <f>'Stationary Energy - Buildings'!E35</f>
        <v>0</v>
      </c>
      <c r="Q15" s="257">
        <f>'Stationary Energy - Buildings'!F35</f>
        <v>0</v>
      </c>
      <c r="R15" s="262">
        <f>'Stationary Energy - Buildings'!G35</f>
        <v>0</v>
      </c>
      <c r="S15" s="676"/>
      <c r="T15" s="665"/>
      <c r="U15" s="1053">
        <f>SUM(E15,H15,L15,P15,S15)</f>
        <v>0</v>
      </c>
      <c r="V15" s="260">
        <f>SUM(F15,I15,M15,Q15,T15)</f>
        <v>0</v>
      </c>
      <c r="W15" s="262">
        <f t="shared" si="0"/>
        <v>0</v>
      </c>
    </row>
    <row r="16" spans="2:23">
      <c r="B16" s="1936"/>
      <c r="C16" s="210" t="s">
        <v>985</v>
      </c>
      <c r="D16" s="696"/>
      <c r="E16" s="656"/>
      <c r="F16" s="697"/>
      <c r="G16" s="719">
        <f>'Stationary Energy - Buildings'!D14</f>
        <v>0</v>
      </c>
      <c r="H16" s="547" t="e">
        <f>'Stationary Energy - Buildings'!F14</f>
        <v>#DIV/0!</v>
      </c>
      <c r="I16" s="283" t="e">
        <f>'Stationary Energy - Buildings'!G14</f>
        <v>#DIV/0!</v>
      </c>
      <c r="J16" s="548" t="e">
        <f>'Stationary Energy - Buildings'!H14</f>
        <v>#DIV/0!</v>
      </c>
      <c r="K16" s="656"/>
      <c r="L16" s="656"/>
      <c r="M16" s="656"/>
      <c r="N16" s="697"/>
      <c r="O16" s="677"/>
      <c r="P16" s="656"/>
      <c r="Q16" s="656"/>
      <c r="R16" s="697"/>
      <c r="S16" s="677"/>
      <c r="T16" s="666"/>
      <c r="U16" s="685" t="e">
        <f t="shared" si="1"/>
        <v>#DIV/0!</v>
      </c>
      <c r="V16" s="283" t="e">
        <f>SUM(F16,I16,M16,Q16,T16)</f>
        <v>#DIV/0!</v>
      </c>
      <c r="W16" s="546" t="e">
        <f t="shared" si="0"/>
        <v>#DIV/0!</v>
      </c>
    </row>
    <row r="17" spans="2:26" ht="13.9" thickBot="1">
      <c r="B17" s="1944"/>
      <c r="C17" s="708" t="s">
        <v>986</v>
      </c>
      <c r="D17" s="1028">
        <f>SUM(D11:D16)</f>
        <v>0</v>
      </c>
      <c r="E17" s="537">
        <f>SUM(E11:E16)</f>
        <v>0</v>
      </c>
      <c r="F17" s="698">
        <f>SUM(F11:F16)</f>
        <v>0</v>
      </c>
      <c r="G17" s="1028">
        <f t="shared" ref="G17:N17" si="2">SUMIF(G11:G16,"&lt;&gt;#DIV/0!",G11:G16)</f>
        <v>0</v>
      </c>
      <c r="H17" s="537">
        <f t="shared" si="2"/>
        <v>0</v>
      </c>
      <c r="I17" s="537">
        <f t="shared" si="2"/>
        <v>0</v>
      </c>
      <c r="J17" s="537">
        <f t="shared" si="2"/>
        <v>0</v>
      </c>
      <c r="K17" s="537">
        <f t="shared" si="2"/>
        <v>0</v>
      </c>
      <c r="L17" s="537">
        <f t="shared" si="2"/>
        <v>0</v>
      </c>
      <c r="M17" s="537">
        <f t="shared" si="2"/>
        <v>0</v>
      </c>
      <c r="N17" s="537">
        <f t="shared" si="2"/>
        <v>0</v>
      </c>
      <c r="O17" s="678">
        <f>SUM(O11:O16)</f>
        <v>0</v>
      </c>
      <c r="P17" s="537">
        <f>SUM(P11:P16)</f>
        <v>0</v>
      </c>
      <c r="Q17" s="537">
        <f>SUM(Q11:Q16)</f>
        <v>0</v>
      </c>
      <c r="R17" s="698">
        <f>SUM(R11:R16)</f>
        <v>0</v>
      </c>
      <c r="S17" s="678">
        <f>SUM(S11:S14)</f>
        <v>0</v>
      </c>
      <c r="T17" s="667">
        <f>SUM(T11:T14)</f>
        <v>0</v>
      </c>
      <c r="U17" s="686">
        <f>SUM(E17,H17,L17,P17,S17)</f>
        <v>0</v>
      </c>
      <c r="V17" s="537">
        <f>SUM(F17,I17,M17,Q15,T17)</f>
        <v>0</v>
      </c>
      <c r="W17" s="538">
        <f>SUM(J17,N17,R15)</f>
        <v>0</v>
      </c>
    </row>
    <row r="18" spans="2:26">
      <c r="B18" s="1945" t="s">
        <v>414</v>
      </c>
      <c r="C18" s="209" t="s">
        <v>987</v>
      </c>
      <c r="D18" s="720">
        <f>'Stationary Energy - Buildings'!E16</f>
        <v>0</v>
      </c>
      <c r="E18" s="657"/>
      <c r="F18" s="729">
        <f>'Stationary Energy - Buildings'!I16</f>
        <v>0</v>
      </c>
      <c r="G18" s="720">
        <f>'Stationary Energy - Buildings'!D16</f>
        <v>0</v>
      </c>
      <c r="H18" s="102">
        <f>'Stationary Energy - Buildings'!F16</f>
        <v>0</v>
      </c>
      <c r="I18" s="102">
        <f>'Stationary Energy - Buildings'!G16</f>
        <v>0</v>
      </c>
      <c r="J18" s="545">
        <f>'Stationary Energy - Buildings'!H16</f>
        <v>0</v>
      </c>
      <c r="K18" s="657"/>
      <c r="L18" s="657"/>
      <c r="M18" s="657"/>
      <c r="N18" s="699"/>
      <c r="O18" s="712"/>
      <c r="P18" s="657"/>
      <c r="Q18" s="657"/>
      <c r="R18" s="699"/>
      <c r="S18" s="679"/>
      <c r="T18" s="668"/>
      <c r="U18" s="687">
        <f t="shared" si="1"/>
        <v>0</v>
      </c>
      <c r="V18" s="261">
        <f>SUM(F18,I18,M18,Q18,T18)</f>
        <v>0</v>
      </c>
      <c r="W18" s="263">
        <f>SUM(J18,N18,R18)</f>
        <v>0</v>
      </c>
      <c r="Z18" s="211"/>
    </row>
    <row r="19" spans="2:26">
      <c r="B19" s="1936"/>
      <c r="C19" s="707" t="s">
        <v>988</v>
      </c>
      <c r="D19" s="700"/>
      <c r="E19" s="658"/>
      <c r="F19" s="701"/>
      <c r="G19" s="637">
        <f>'Stationary Energy - Buildings'!D17</f>
        <v>0</v>
      </c>
      <c r="H19" s="104" t="e">
        <f>'Stationary Energy - Buildings'!F17</f>
        <v>#DIV/0!</v>
      </c>
      <c r="I19" s="104" t="e">
        <f>'Stationary Energy - Buildings'!G17</f>
        <v>#DIV/0!</v>
      </c>
      <c r="J19" s="541" t="e">
        <f>'Stationary Energy - Buildings'!H17</f>
        <v>#DIV/0!</v>
      </c>
      <c r="K19" s="658"/>
      <c r="L19" s="658"/>
      <c r="M19" s="658"/>
      <c r="N19" s="701"/>
      <c r="O19" s="680"/>
      <c r="P19" s="658"/>
      <c r="Q19" s="658"/>
      <c r="R19" s="701"/>
      <c r="S19" s="680"/>
      <c r="T19" s="669"/>
      <c r="U19" s="298" t="e">
        <f t="shared" si="1"/>
        <v>#DIV/0!</v>
      </c>
      <c r="V19" s="260" t="e">
        <f t="shared" ref="V19:V24" si="3">SUM(F19,I19,M19,Q19,T19)</f>
        <v>#DIV/0!</v>
      </c>
      <c r="W19" s="262" t="e">
        <f t="shared" ref="W19:W24" si="4">SUM(J19,N19,R19)</f>
        <v>#DIV/0!</v>
      </c>
      <c r="Z19" s="211"/>
    </row>
    <row r="20" spans="2:26">
      <c r="B20" s="1936"/>
      <c r="C20" s="707" t="s">
        <v>989</v>
      </c>
      <c r="D20" s="637">
        <f>'Stationary Energy - Buildings'!E18</f>
        <v>0</v>
      </c>
      <c r="E20" s="654"/>
      <c r="F20" s="1029">
        <f>'Stationary Energy - Buildings'!I18</f>
        <v>0</v>
      </c>
      <c r="G20" s="637">
        <f>'Stationary Energy - Buildings'!D18</f>
        <v>0</v>
      </c>
      <c r="H20" s="104">
        <f>'Stationary Energy - Buildings'!F18</f>
        <v>0</v>
      </c>
      <c r="I20" s="104">
        <f>'Stationary Energy - Buildings'!G18</f>
        <v>0</v>
      </c>
      <c r="J20" s="541">
        <f>'Stationary Energy - Buildings'!H18</f>
        <v>0</v>
      </c>
      <c r="K20" s="658"/>
      <c r="L20" s="658"/>
      <c r="M20" s="658"/>
      <c r="N20" s="701"/>
      <c r="O20" s="676"/>
      <c r="P20" s="654"/>
      <c r="Q20" s="654"/>
      <c r="R20" s="694"/>
      <c r="S20" s="676"/>
      <c r="T20" s="665"/>
      <c r="U20" s="298">
        <f t="shared" si="1"/>
        <v>0</v>
      </c>
      <c r="V20" s="260">
        <f>SUM(F20,I20,M20,Q20,T20)</f>
        <v>0</v>
      </c>
      <c r="W20" s="262">
        <f t="shared" si="4"/>
        <v>0</v>
      </c>
      <c r="Z20" s="212"/>
    </row>
    <row r="21" spans="2:26">
      <c r="B21" s="1936"/>
      <c r="C21" s="707" t="s">
        <v>990</v>
      </c>
      <c r="D21" s="637">
        <f>'Stationary Energy - Buildings'!E224</f>
        <v>0</v>
      </c>
      <c r="E21" s="104">
        <f>'Stationary Energy - Buildings'!F224</f>
        <v>0</v>
      </c>
      <c r="F21" s="1029">
        <f>'Stationary Energy - Buildings'!G224</f>
        <v>0</v>
      </c>
      <c r="G21" s="700"/>
      <c r="H21" s="658"/>
      <c r="I21" s="658"/>
      <c r="J21" s="658"/>
      <c r="K21" s="104">
        <f>'Stationary Energy - Buildings'!E218</f>
        <v>0</v>
      </c>
      <c r="L21" s="541" t="e">
        <f>'Stationary Energy - Buildings'!F218</f>
        <v>#DIV/0!</v>
      </c>
      <c r="M21" s="104" t="e">
        <f>'Stationary Energy - Buildings'!G218</f>
        <v>#DIV/0!</v>
      </c>
      <c r="N21" s="268" t="e">
        <f>'Stationary Energy - Buildings'!H218</f>
        <v>#DIV/0!</v>
      </c>
      <c r="O21" s="676"/>
      <c r="P21" s="654"/>
      <c r="Q21" s="654"/>
      <c r="R21" s="694"/>
      <c r="S21" s="676"/>
      <c r="T21" s="665"/>
      <c r="U21" s="298" t="e">
        <f t="shared" si="1"/>
        <v>#DIV/0!</v>
      </c>
      <c r="V21" s="260" t="e">
        <f t="shared" si="3"/>
        <v>#DIV/0!</v>
      </c>
      <c r="W21" s="262" t="e">
        <f t="shared" si="4"/>
        <v>#DIV/0!</v>
      </c>
    </row>
    <row r="22" spans="2:26">
      <c r="B22" s="1936"/>
      <c r="C22" s="707" t="s">
        <v>412</v>
      </c>
      <c r="D22" s="700"/>
      <c r="E22" s="658"/>
      <c r="F22" s="701"/>
      <c r="G22" s="700"/>
      <c r="H22" s="658"/>
      <c r="I22" s="658"/>
      <c r="J22" s="658"/>
      <c r="K22" s="658"/>
      <c r="L22" s="658"/>
      <c r="M22" s="658"/>
      <c r="N22" s="701"/>
      <c r="O22" s="711">
        <f>SUM('Stationary Energy - Buildings'!C36:C38)</f>
        <v>0</v>
      </c>
      <c r="P22" s="257">
        <f>SUM('Stationary Energy - Buildings'!E36:E38)</f>
        <v>0</v>
      </c>
      <c r="Q22" s="257">
        <f>SUM('Stationary Energy - Buildings'!F36:F38)</f>
        <v>0</v>
      </c>
      <c r="R22" s="262">
        <f>SUM('Stationary Energy - Buildings'!G36:G38)</f>
        <v>0</v>
      </c>
      <c r="S22" s="676"/>
      <c r="T22" s="665"/>
      <c r="U22" s="298">
        <f>SUM(E22,H22,L22,P22,S22)</f>
        <v>0</v>
      </c>
      <c r="V22" s="260">
        <f>SUM(F22,I22,M22,Q22,T22)</f>
        <v>0</v>
      </c>
      <c r="W22" s="262">
        <f>SUM(J22,N22,R22)</f>
        <v>0</v>
      </c>
    </row>
    <row r="23" spans="2:26">
      <c r="B23" s="1936"/>
      <c r="C23" s="707" t="s">
        <v>985</v>
      </c>
      <c r="D23" s="700"/>
      <c r="E23" s="658"/>
      <c r="F23" s="701"/>
      <c r="G23" s="637">
        <f>'Stationary Energy - Buildings'!D19</f>
        <v>0</v>
      </c>
      <c r="H23" s="544" t="e">
        <f>'Stationary Energy - Buildings'!F19</f>
        <v>#DIV/0!</v>
      </c>
      <c r="I23" s="104" t="e">
        <f>'Stationary Energy - Buildings'!G19</f>
        <v>#DIV/0!</v>
      </c>
      <c r="J23" s="544" t="e">
        <f>'Stationary Energy - Buildings'!H19</f>
        <v>#DIV/0!</v>
      </c>
      <c r="K23" s="658"/>
      <c r="L23" s="658"/>
      <c r="M23" s="658"/>
      <c r="N23" s="701"/>
      <c r="O23" s="676"/>
      <c r="P23" s="654"/>
      <c r="Q23" s="654"/>
      <c r="R23" s="694"/>
      <c r="S23" s="676"/>
      <c r="T23" s="665"/>
      <c r="U23" s="298" t="e">
        <f t="shared" si="1"/>
        <v>#DIV/0!</v>
      </c>
      <c r="V23" s="260" t="e">
        <f t="shared" si="3"/>
        <v>#DIV/0!</v>
      </c>
      <c r="W23" s="262" t="e">
        <f t="shared" si="4"/>
        <v>#DIV/0!</v>
      </c>
    </row>
    <row r="24" spans="2:26">
      <c r="B24" s="1936"/>
      <c r="C24" s="210" t="s">
        <v>991</v>
      </c>
      <c r="D24" s="721"/>
      <c r="E24" s="659"/>
      <c r="F24" s="722"/>
      <c r="G24" s="721"/>
      <c r="H24" s="659"/>
      <c r="I24" s="659"/>
      <c r="J24" s="659"/>
      <c r="K24" s="659"/>
      <c r="L24" s="659"/>
      <c r="M24" s="659"/>
      <c r="N24" s="722"/>
      <c r="O24" s="677"/>
      <c r="P24" s="656"/>
      <c r="Q24" s="656"/>
      <c r="R24" s="697"/>
      <c r="S24" s="681">
        <f>SUM('Stationary Energy - Off Road'!N16:N17)</f>
        <v>0</v>
      </c>
      <c r="T24" s="670">
        <f>SUM('Stationary Energy - Off Road'!O16:O17)</f>
        <v>0</v>
      </c>
      <c r="U24" s="685">
        <f t="shared" si="1"/>
        <v>0</v>
      </c>
      <c r="V24" s="283">
        <f t="shared" si="3"/>
        <v>0</v>
      </c>
      <c r="W24" s="546">
        <f t="shared" si="4"/>
        <v>0</v>
      </c>
    </row>
    <row r="25" spans="2:26" ht="13.9" thickBot="1">
      <c r="B25" s="1937"/>
      <c r="C25" s="208" t="s">
        <v>992</v>
      </c>
      <c r="D25" s="1024">
        <f>SUM(D18:D24)</f>
        <v>0</v>
      </c>
      <c r="E25" s="1390">
        <f>SUM(E18:E24)</f>
        <v>0</v>
      </c>
      <c r="F25" s="1391">
        <f>SUM(F18:F24)</f>
        <v>0</v>
      </c>
      <c r="G25" s="1024">
        <f t="shared" ref="G25:N25" si="5">SUMIF(G18:G24,"&lt;&gt;#DIV/0!",G18:G24)</f>
        <v>0</v>
      </c>
      <c r="H25" s="1390">
        <f t="shared" si="5"/>
        <v>0</v>
      </c>
      <c r="I25" s="1390">
        <f t="shared" si="5"/>
        <v>0</v>
      </c>
      <c r="J25" s="1390">
        <f t="shared" si="5"/>
        <v>0</v>
      </c>
      <c r="K25" s="1390">
        <f t="shared" si="5"/>
        <v>0</v>
      </c>
      <c r="L25" s="1390">
        <f t="shared" si="5"/>
        <v>0</v>
      </c>
      <c r="M25" s="1390">
        <f t="shared" si="5"/>
        <v>0</v>
      </c>
      <c r="N25" s="1390">
        <f t="shared" si="5"/>
        <v>0</v>
      </c>
      <c r="O25" s="1025">
        <f t="shared" ref="O25:T25" si="6">SUM(O18:O24)</f>
        <v>0</v>
      </c>
      <c r="P25" s="1392">
        <f t="shared" si="6"/>
        <v>0</v>
      </c>
      <c r="Q25" s="1390">
        <f t="shared" si="6"/>
        <v>0</v>
      </c>
      <c r="R25" s="1391">
        <f t="shared" si="6"/>
        <v>0</v>
      </c>
      <c r="S25" s="1026">
        <f t="shared" si="6"/>
        <v>0</v>
      </c>
      <c r="T25" s="1027">
        <f t="shared" si="6"/>
        <v>0</v>
      </c>
      <c r="U25" s="688">
        <f>SUM(E25,H25,L25,P22,S25)</f>
        <v>0</v>
      </c>
      <c r="V25" s="535">
        <f>SUM(F25,I25,M25,Q22,T25)</f>
        <v>0</v>
      </c>
      <c r="W25" s="385">
        <f>SUM(J25,N25,R22)</f>
        <v>0</v>
      </c>
    </row>
    <row r="26" spans="2:26">
      <c r="B26" s="1936" t="s">
        <v>115</v>
      </c>
      <c r="C26" s="709" t="s">
        <v>991</v>
      </c>
      <c r="D26" s="723"/>
      <c r="E26" s="660"/>
      <c r="F26" s="724"/>
      <c r="G26" s="723"/>
      <c r="H26" s="660"/>
      <c r="I26" s="660"/>
      <c r="J26" s="660"/>
      <c r="K26" s="660"/>
      <c r="L26" s="660"/>
      <c r="M26" s="660"/>
      <c r="N26" s="724"/>
      <c r="O26" s="713"/>
      <c r="P26" s="661"/>
      <c r="Q26" s="661"/>
      <c r="R26" s="702"/>
      <c r="S26" s="682">
        <f>'Stationary Energy - Off Road'!N18</f>
        <v>0</v>
      </c>
      <c r="T26" s="671">
        <f>'Stationary Energy - Off Road'!O18</f>
        <v>0</v>
      </c>
      <c r="U26" s="689">
        <f>SUM(E26,H26,L26,P26,S26)</f>
        <v>0</v>
      </c>
      <c r="V26" s="539">
        <f>SUM(F26,I26,M26,Q26,T26)</f>
        <v>0</v>
      </c>
      <c r="W26" s="540">
        <f>SUM(J26,N26,R26)</f>
        <v>0</v>
      </c>
    </row>
    <row r="27" spans="2:26" ht="13.9" thickBot="1">
      <c r="B27" s="1937"/>
      <c r="C27" s="208" t="s">
        <v>993</v>
      </c>
      <c r="D27" s="958"/>
      <c r="E27" s="1393"/>
      <c r="F27" s="1394"/>
      <c r="G27" s="958"/>
      <c r="H27" s="1393"/>
      <c r="I27" s="1393"/>
      <c r="J27" s="1393"/>
      <c r="K27" s="1393"/>
      <c r="L27" s="1393"/>
      <c r="M27" s="1393"/>
      <c r="N27" s="1394"/>
      <c r="O27" s="959"/>
      <c r="P27" s="1393"/>
      <c r="Q27" s="1393"/>
      <c r="R27" s="1394"/>
      <c r="S27" s="1026">
        <f>SUM(S26:S26)</f>
        <v>0</v>
      </c>
      <c r="T27" s="672">
        <f>SUM(T26:T26)</f>
        <v>0</v>
      </c>
      <c r="U27" s="280">
        <f t="shared" si="1"/>
        <v>0</v>
      </c>
      <c r="V27" s="1390">
        <f>SUM(F27,I27,M27,Q27,T27)</f>
        <v>0</v>
      </c>
      <c r="W27" s="1395">
        <f>SUM(J27,N27,R27)</f>
        <v>0</v>
      </c>
    </row>
    <row r="28" spans="2:26" ht="13.9" thickBot="1">
      <c r="B28" s="1928" t="s">
        <v>958</v>
      </c>
      <c r="C28" s="1929"/>
      <c r="D28" s="703">
        <f>SUM(D17,D25,D27)</f>
        <v>0</v>
      </c>
      <c r="E28" s="542">
        <f>SUM(E17,E25,E27)</f>
        <v>0</v>
      </c>
      <c r="F28" s="725">
        <f>SUM(F17,F25,F27)</f>
        <v>0</v>
      </c>
      <c r="G28" s="703">
        <f t="shared" ref="G28:N28" si="7">SUM(G17,G25,G27)</f>
        <v>0</v>
      </c>
      <c r="H28" s="542">
        <f t="shared" si="7"/>
        <v>0</v>
      </c>
      <c r="I28" s="542">
        <f t="shared" si="7"/>
        <v>0</v>
      </c>
      <c r="J28" s="543">
        <f t="shared" si="7"/>
        <v>0</v>
      </c>
      <c r="K28" s="542">
        <f t="shared" si="7"/>
        <v>0</v>
      </c>
      <c r="L28" s="542">
        <f t="shared" si="7"/>
        <v>0</v>
      </c>
      <c r="M28" s="542">
        <f t="shared" si="7"/>
        <v>0</v>
      </c>
      <c r="N28" s="725">
        <f t="shared" si="7"/>
        <v>0</v>
      </c>
      <c r="O28" s="714">
        <f>SUM(O15,O22,O27)</f>
        <v>0</v>
      </c>
      <c r="P28" s="543">
        <f>SUM(P15,P22,P27)</f>
        <v>0</v>
      </c>
      <c r="Q28" s="542">
        <f>SUM(Q15,Q22,Q27)</f>
        <v>0</v>
      </c>
      <c r="R28" s="704">
        <f>SUM(R15,R22,R27)</f>
        <v>0</v>
      </c>
      <c r="S28" s="683">
        <f>SUM(S17,S25,S27)</f>
        <v>0</v>
      </c>
      <c r="T28" s="673">
        <f>SUM(T17,T25,T27)</f>
        <v>0</v>
      </c>
      <c r="U28" s="690">
        <f>SUM(E28,H28,L28,P28,S28)</f>
        <v>0</v>
      </c>
      <c r="V28" s="534">
        <f>SUM(F28,I28,M28,Q28,T28)</f>
        <v>0</v>
      </c>
      <c r="W28" s="370">
        <f>SUM(J28,N28,R28)</f>
        <v>0</v>
      </c>
    </row>
    <row r="29" spans="2:26" ht="13.9" thickBot="1">
      <c r="U29" s="1055"/>
    </row>
    <row r="30" spans="2:26" ht="18.75" customHeight="1" thickBot="1">
      <c r="B30" s="1925" t="s">
        <v>994</v>
      </c>
      <c r="C30" s="1926"/>
      <c r="D30" s="1711"/>
      <c r="E30" s="1712"/>
      <c r="U30" s="536"/>
      <c r="V30" s="536"/>
      <c r="W30" s="536"/>
    </row>
    <row r="31" spans="2:26" ht="26.45">
      <c r="B31" s="1921" t="s">
        <v>396</v>
      </c>
      <c r="C31" s="1922"/>
      <c r="D31" s="1922"/>
      <c r="E31" s="55" t="s">
        <v>409</v>
      </c>
      <c r="U31" s="536"/>
      <c r="V31" s="536"/>
      <c r="W31" s="536"/>
    </row>
    <row r="32" spans="2:26" ht="13.9" thickBot="1">
      <c r="B32" s="1923" t="s">
        <v>995</v>
      </c>
      <c r="C32" s="1924"/>
      <c r="D32" s="1924"/>
      <c r="E32" s="1396">
        <f>'Stationary Energy - E. Indus.'!C11</f>
        <v>0</v>
      </c>
      <c r="U32" s="536"/>
    </row>
    <row r="33" spans="2:5" ht="51.75" customHeight="1" thickBot="1">
      <c r="B33" s="1912" t="s">
        <v>996</v>
      </c>
      <c r="C33" s="1927"/>
      <c r="D33" s="1927"/>
      <c r="E33" s="1670"/>
    </row>
    <row r="53" spans="14:14">
      <c r="N53" s="1055"/>
    </row>
  </sheetData>
  <mergeCells count="14">
    <mergeCell ref="B7:L7"/>
    <mergeCell ref="B6:L6"/>
    <mergeCell ref="B9:W9"/>
    <mergeCell ref="B26:B27"/>
    <mergeCell ref="B2:G2"/>
    <mergeCell ref="C3:G3"/>
    <mergeCell ref="C4:G4"/>
    <mergeCell ref="B11:B17"/>
    <mergeCell ref="B18:B25"/>
    <mergeCell ref="B31:D31"/>
    <mergeCell ref="B32:D32"/>
    <mergeCell ref="B30:E30"/>
    <mergeCell ref="B33:E33"/>
    <mergeCell ref="B28:C28"/>
  </mergeCells>
  <pageMargins left="0.7" right="0.7" top="0.75" bottom="0.75" header="0.3" footer="0.3"/>
  <pageSetup orientation="portrait" r:id="rId1"/>
  <ignoredErrors>
    <ignoredError sqref="U25:W25 V17:W17"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a68dead-cc65-4be7-a1c5-fad9282055f1">
      <Terms xmlns="http://schemas.microsoft.com/office/infopath/2007/PartnerControls"/>
    </lcf76f155ced4ddcb4097134ff3c332f>
    <TaxCatchAll xmlns="4a7dbaee-d756-4a4b-b1f5-897b4f3c31a2" xsi:nil="true"/>
    <Notes xmlns="6a68dead-cc65-4be7-a1c5-fad9282055f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6FB6C31F7B677469C7CC8B9DD6B63D0" ma:contentTypeVersion="20" ma:contentTypeDescription="Create a new document." ma:contentTypeScope="" ma:versionID="41fe75f13e371b43ebb56c86ad494a43">
  <xsd:schema xmlns:xsd="http://www.w3.org/2001/XMLSchema" xmlns:xs="http://www.w3.org/2001/XMLSchema" xmlns:p="http://schemas.microsoft.com/office/2006/metadata/properties" xmlns:ns2="6a68dead-cc65-4be7-a1c5-fad9282055f1" xmlns:ns3="4a7dbaee-d756-4a4b-b1f5-897b4f3c31a2" targetNamespace="http://schemas.microsoft.com/office/2006/metadata/properties" ma:root="true" ma:fieldsID="daf1be0b90193904f6bcec89605ae193" ns2:_="" ns3:_="">
    <xsd:import namespace="6a68dead-cc65-4be7-a1c5-fad9282055f1"/>
    <xsd:import namespace="4a7dbaee-d756-4a4b-b1f5-897b4f3c31a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Note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68dead-cc65-4be7-a1c5-fad9282055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940289e-7c2c-41a1-9630-5237cb6f5e2a" ma:termSetId="09814cd3-568e-fe90-9814-8d621ff8fb84" ma:anchorId="fba54fb3-c3e1-fe81-a776-ca4b69148c4d" ma:open="true" ma:isKeyword="false">
      <xsd:complexType>
        <xsd:sequence>
          <xsd:element ref="pc:Terms" minOccurs="0" maxOccurs="1"/>
        </xsd:sequence>
      </xsd:complexType>
    </xsd:element>
    <xsd:element name="Notes" ma:index="24" nillable="true" ma:displayName="Notes" ma:format="Dropdown" ma:internalName="Notes">
      <xsd:simpleType>
        <xsd:restriction base="dms:Text">
          <xsd:maxLength value="255"/>
        </xsd:restrictio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a7dbaee-d756-4a4b-b1f5-897b4f3c31a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ba92791-a091-4576-94e9-d1a1f2b1cef0}" ma:internalName="TaxCatchAll" ma:showField="CatchAllData" ma:web="4a7dbaee-d756-4a4b-b1f5-897b4f3c31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6ABB36-4011-4BC3-AE5D-41766DE2219C}"/>
</file>

<file path=customXml/itemProps2.xml><?xml version="1.0" encoding="utf-8"?>
<ds:datastoreItem xmlns:ds="http://schemas.openxmlformats.org/officeDocument/2006/customXml" ds:itemID="{FEAF51D3-0FDC-4202-A998-0C88CD72012D}"/>
</file>

<file path=customXml/itemProps3.xml><?xml version="1.0" encoding="utf-8"?>
<ds:datastoreItem xmlns:ds="http://schemas.openxmlformats.org/officeDocument/2006/customXml" ds:itemID="{81ADB1F1-C6E2-4CE7-8724-FA1BB322FB1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Jewel, Amy</dc:creator>
  <cp:keywords/>
  <dc:description/>
  <cp:lastModifiedBy/>
  <cp:revision/>
  <dcterms:created xsi:type="dcterms:W3CDTF">2009-06-18T20:03:52Z</dcterms:created>
  <dcterms:modified xsi:type="dcterms:W3CDTF">2025-04-04T17:16:36Z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5bbf31dd-035e-44b4-b399-a4214514149d</vt:lpwstr>
  </property>
  <property fmtid="{D5CDD505-2E9C-101B-9397-08002B2CF9AE}" pid="3" name="ContentTypeId">
    <vt:lpwstr>0x010100F6FB6C31F7B677469C7CC8B9DD6B63D0</vt:lpwstr>
  </property>
  <property fmtid="{D5CDD505-2E9C-101B-9397-08002B2CF9AE}" pid="4" name="MediaServiceImageTags">
    <vt:lpwstr/>
  </property>
</Properties>
</file>